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21.xml"/>
  <Override ContentType="application/vnd.openxmlformats-officedocument.spreadsheetml.comments+xml" PartName="/xl/comments26.xml"/>
  <Override ContentType="application/vnd.openxmlformats-officedocument.spreadsheetml.comments+xml" PartName="/xl/comments9.xml"/>
  <Override ContentType="application/vnd.openxmlformats-officedocument.spreadsheetml.comments+xml" PartName="/xl/comments30.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27.xml"/>
  <Override ContentType="application/vnd.openxmlformats-officedocument.spreadsheetml.comments+xml" PartName="/xl/comments22.xml"/>
  <Override ContentType="application/vnd.openxmlformats-officedocument.spreadsheetml.comments+xml" PartName="/xl/comments31.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10.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6.xml"/>
  <Override ContentType="application/vnd.openxmlformats-officedocument.spreadsheetml.comments+xml" PartName="/xl/comments28.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25.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29.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负债表" sheetId="1" r:id="rId3"/>
    <sheet state="visible" name="新总结" sheetId="2" r:id="rId4"/>
    <sheet state="visible" name="消费总计2021" sheetId="3" r:id="rId5"/>
    <sheet state="visible" name="202110" sheetId="4" r:id="rId6"/>
    <sheet state="visible" name="202109" sheetId="5" r:id="rId7"/>
    <sheet state="visible" name="202108" sheetId="6" r:id="rId8"/>
    <sheet state="visible" name="202107" sheetId="7" r:id="rId9"/>
    <sheet state="visible" name="202106" sheetId="8" r:id="rId10"/>
    <sheet state="visible" name="202105" sheetId="9" r:id="rId11"/>
    <sheet state="visible" name="202104" sheetId="10" r:id="rId12"/>
    <sheet state="visible" name="202103" sheetId="11" r:id="rId13"/>
    <sheet state="visible" name="202102" sheetId="12" r:id="rId14"/>
    <sheet state="visible" name="202101" sheetId="13" r:id="rId15"/>
    <sheet state="visible" name="202003" sheetId="14" r:id="rId16"/>
    <sheet state="visible" name="202002" sheetId="15" r:id="rId17"/>
    <sheet state="visible" name="202001" sheetId="16" r:id="rId18"/>
    <sheet state="visible" name="201912" sheetId="17" r:id="rId19"/>
    <sheet state="visible" name="201911" sheetId="18" r:id="rId20"/>
    <sheet state="visible" name="201910" sheetId="19" r:id="rId21"/>
    <sheet state="visible" name="201909" sheetId="20" r:id="rId22"/>
    <sheet state="visible" name="201908" sheetId="21" r:id="rId23"/>
    <sheet state="visible" name="201907" sheetId="22" r:id="rId24"/>
    <sheet state="visible" name="201906" sheetId="23" r:id="rId25"/>
    <sheet state="visible" name="201905" sheetId="24" r:id="rId26"/>
    <sheet state="visible" name="201904" sheetId="25" r:id="rId27"/>
    <sheet state="visible" name="201903" sheetId="26" r:id="rId28"/>
    <sheet state="visible" name="201902" sheetId="27" r:id="rId29"/>
    <sheet state="visible" name="201901" sheetId="28" r:id="rId30"/>
    <sheet state="visible" name="201812" sheetId="29" r:id="rId31"/>
    <sheet state="visible" name="201811" sheetId="30" r:id="rId32"/>
    <sheet state="visible" name="201810" sheetId="31" r:id="rId33"/>
    <sheet state="visible" name="201809" sheetId="32" r:id="rId3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小兔子2020年12月应给我的款，见《共同账单》工作簿12月份的数据。</t>
      </text>
    </comment>
    <comment authorId="0" ref="B3">
      <text>
        <t xml:space="preserve">上个月小兔子需给我7912日元，之后找我借了1万元人民币买股票，然后转账给我400000日元，再扣除一月结账后小兔子应给我的钱。</t>
      </text>
    </comment>
    <comment authorId="0" ref="B4">
      <text>
        <t xml:space="preserve">上月我对小兔子的负债扣除二月份结账后小兔子应该给我的钱。</t>
      </text>
    </comment>
    <comment authorId="0" ref="B5">
      <text>
        <t xml:space="preserve">上月我对小兔子的负债扣除三月份结账后小兔子应该给我的钱。</t>
      </text>
    </comment>
    <comment authorId="0" ref="B6">
      <text>
        <t xml:space="preserve">扣除四月份结账后小兔子应给我的款项。</t>
      </text>
    </comment>
    <comment authorId="0" ref="B7">
      <text>
        <t xml:space="preserve">扣除五月结账后小兔应给我的钱。</t>
      </text>
    </comment>
    <comment authorId="0" ref="B8">
      <text>
        <t xml:space="preserve">扣除六月结账后小兔应给我的钱；加上小兔给我的一万人民币-本是还款，为避免重复计算，此处算作转账；加上股票收入共享的3000元人民币-因为在购买苹果手机时候已经算了双方各自支付的钱，所以此处记作转账。</t>
      </text>
    </comment>
    <comment authorId="0" ref="B9">
      <text>
        <t xml:space="preserve">扣除七月份兔子应给我的钱，和兔子从我这边拿去买菜及付琴课的钱。</t>
      </text>
    </comment>
    <comment authorId="0" ref="B10">
      <text>
        <t xml:space="preserve">扣除八月份小兔应给我的钱。</t>
      </text>
    </comment>
    <comment authorId="0" ref="B11">
      <text>
        <t xml:space="preserve">扣除九月份小兔子应给我的钱，以及支付宝转账给小兔子买东西的钱。</t>
      </text>
    </comment>
    <comment authorId="0" ref="B12">
      <text>
        <t xml:space="preserve">扣除小兔十月应给我的钱和食堂充卡费用。</t>
      </text>
    </comment>
  </commentList>
</comments>
</file>

<file path=xl/comments2.xml><?xml version="1.0" encoding="utf-8"?>
<comments xmlns:r="http://schemas.openxmlformats.org/officeDocument/2006/relationships" xmlns="http://schemas.openxmlformats.org/spreadsheetml/2006/main">
  <authors>
    <author/>
  </authors>
  <commentList>
    <comment authorId="0" ref="I2">
      <text>
        <t xml:space="preserve">包括尾号为545，008，668的三张卡。</t>
      </text>
    </comment>
    <comment authorId="0" ref="V8">
      <text>
        <t xml:space="preserve">KANG 康杰锋:
收妈，爸，燕锋红包；找肃哥借的人民币储备。</t>
      </text>
    </comment>
    <comment authorId="0" ref="V9">
      <text>
        <t xml:space="preserve">KANG 康杰锋:
收妈，爸，燕锋红包；找兔子借款。</t>
      </text>
    </comment>
    <comment authorId="0" ref="V10">
      <text>
        <t xml:space="preserve">收妈，爸，燕锋红包。</t>
      </text>
    </comment>
    <comment authorId="0" ref="V11">
      <text>
        <t xml:space="preserve">收妈，爸，燕锋红包；小兔子给我转账金额扣除自三月中旬新干线过去东京之后的共同花费后的余额；令杰的钱尚未平账。</t>
      </text>
    </comment>
    <comment authorId="0" ref="Z11">
      <text>
        <t xml:space="preserve">拉面店打工四月份收入。</t>
      </text>
    </comment>
    <comment authorId="0" ref="V12">
      <text>
        <t xml:space="preserve">收妈，爸，燕锋红包；小兔子给我转账金额扣除自三月中旬新干线过去东京之后的共同花费后的余额；令杰的钱尚未平账。</t>
      </text>
    </comment>
    <comment authorId="0" ref="Z12">
      <text>
        <t xml:space="preserve">实习TA补贴的一部分；拉面店打工五月份收入。</t>
      </text>
    </comment>
    <comment authorId="0" ref="V13">
      <text>
        <t xml:space="preserve">收妈，爸，燕锋红包；小兔子给我转账金额扣除自三月中旬新干线过去东京之后的共同花费后的余额；令杰的钱尚未平账。</t>
      </text>
    </comment>
    <comment authorId="0" ref="Z13">
      <text>
        <t xml:space="preserve">拉面店六月份工资；导游收入；导游收入；高田Excel计算辅导收入；丹后实习TA收入。</t>
      </text>
    </comment>
    <comment authorId="0" ref="V14">
      <text>
        <t xml:space="preserve">收妈，爸，燕锋红包；小兔子给我转账金额扣除自三月中旬新干线过去东京之后的共同花费后的余额扣除8月3日饮食的均摊费用；月末结账后兔子应给我的钱。</t>
      </text>
    </comment>
    <comment authorId="0" ref="Z14">
      <text>
        <t xml:space="preserve">拉面店七月份工资收入。</t>
      </text>
    </comment>
    <comment authorId="0" ref="V15">
      <text>
        <t xml:space="preserve">收妈，爸，燕锋红包；应还给令杰的饭钱；应还给李嘉铭的饭钱。</t>
      </text>
    </comment>
    <comment authorId="0" ref="Z15">
      <text>
        <t xml:space="preserve">拉面店八月份工资；暖脚器卖出；京大开放校园工资收入。</t>
      </text>
    </comment>
    <comment authorId="0" ref="U16">
      <text>
        <t xml:space="preserve">TUO卡负债，加机票报销修正；亚马逊卡负债。</t>
      </text>
    </comment>
    <comment authorId="0" ref="V16">
      <text>
        <t xml:space="preserve">收妈，爸，燕锋红包；应还给令杰的饭钱。</t>
      </text>
    </comment>
    <comment authorId="0" ref="Z16">
      <text>
        <t xml:space="preserve">拉面店九月份收入；新东方导游团导游费。</t>
      </text>
    </comment>
    <comment authorId="0" ref="V17">
      <text>
        <t xml:space="preserve">收妈，爸，燕锋红包；应还给令杰的饭钱。</t>
      </text>
    </comment>
    <comment authorId="0" ref="Z17">
      <text>
        <t xml:space="preserve">拉面店十月份收入；韩国会议报销机票外多出来的部分；Tutor收入。</t>
      </text>
    </comment>
    <comment authorId="0" ref="V18">
      <text>
        <t xml:space="preserve">收妈，爸，燕锋红包；应请令杰吃饭的钱。</t>
      </text>
    </comment>
    <comment authorId="0" ref="Z18">
      <text>
        <t xml:space="preserve">拉面店十一月收入；拉面店十二月收入。</t>
      </text>
    </comment>
    <comment authorId="0" ref="V19">
      <text>
        <t xml:space="preserve">收妈，爸，燕锋红包；应请令杰吃饭的钱。</t>
      </text>
    </comment>
    <comment authorId="0" ref="Z19">
      <text>
        <t xml:space="preserve">东大经济学实验收入亚马逊代金券。</t>
      </text>
    </comment>
    <comment authorId="0" ref="V20">
      <text>
        <t xml:space="preserve">收妈，爸，燕锋红包；应请令杰吃饭的钱。</t>
      </text>
    </comment>
    <comment authorId="0" ref="Z20">
      <text>
        <t xml:space="preserve">国民健康保险返还。</t>
      </text>
    </comment>
    <comment authorId="0" ref="V21">
      <text>
        <t xml:space="preserve">收妈，爸，燕锋红包；应请令杰吃饭的钱。</t>
      </text>
    </comment>
    <comment authorId="0" ref="Z21">
      <text>
        <t xml:space="preserve">城市环境研究所论文奖励；东山野生动物摄影识别收入。</t>
      </text>
    </comment>
    <comment authorId="0" ref="V22">
      <text>
        <t xml:space="preserve">收妈，爸，燕锋红包；应请令杰吃饭的钱。</t>
      </text>
    </comment>
    <comment authorId="0" ref="V23">
      <text>
        <t xml:space="preserve">收妈，爸，燕锋红包；应请令杰吃饭的钱。</t>
      </text>
    </comment>
    <comment authorId="0" ref="Z23">
      <text>
        <t xml:space="preserve">京都大学RA收入。</t>
      </text>
    </comment>
    <comment authorId="0" ref="V24">
      <text>
        <t xml:space="preserve">收妈，爸，燕锋红包；应请令杰吃饭的钱。</t>
      </text>
    </comment>
    <comment authorId="0" ref="Z24">
      <text>
        <t xml:space="preserve">TA和RA收入。</t>
      </text>
    </comment>
    <comment authorId="0" ref="V25">
      <text>
        <t xml:space="preserve">收妈，爸，燕锋红包；应请令杰吃饭的钱。</t>
      </text>
    </comment>
    <comment authorId="0" ref="Z25">
      <text>
        <t xml:space="preserve">林老师劳务费；日本政府疫情补助金；TA及RA工资；Tutor工资。</t>
      </text>
    </comment>
    <comment authorId="0" ref="V26">
      <text>
        <t xml:space="preserve">收妈，爸，燕锋红包；应请令杰吃饭的钱。</t>
      </text>
    </comment>
    <comment authorId="0" ref="Z26">
      <text>
        <t xml:space="preserve">TA工资；RA工资。</t>
      </text>
    </comment>
    <comment authorId="0" ref="V27">
      <text>
        <t xml:space="preserve">收妈，爸，燕锋红包；应请令杰吃饭的钱。</t>
      </text>
    </comment>
    <comment authorId="0" ref="Z27">
      <text>
        <t xml:space="preserve">充话费10000送5000。</t>
      </text>
    </comment>
    <comment authorId="0" ref="V28">
      <text>
        <t xml:space="preserve">收妈，爸，燕锋红包，肖黎姗师姐报销了中国生态学大会参会费；应请令杰吃饭的钱。</t>
      </text>
    </comment>
    <comment authorId="0" ref="Z28">
      <text>
        <t xml:space="preserve">交通补助；TA工资。</t>
      </text>
    </comment>
    <comment authorId="0" ref="V29">
      <text>
        <t xml:space="preserve">收妈，爸，燕锋红包，肖黎姗师姐报销了中国生态学大会参会费；应请令杰吃饭的钱。</t>
      </text>
    </comment>
    <comment authorId="0" ref="Z29">
      <text>
        <t xml:space="preserve">TA或者RA收入。</t>
      </text>
    </comment>
    <comment authorId="0" ref="V30">
      <text>
        <t xml:space="preserve">收妈，爸，燕锋红包，肖黎姗师姐报销了中国生态学大会参会费；应请令杰吃饭的钱；小兔子处的应收账款。</t>
      </text>
    </comment>
    <comment authorId="0" ref="Z30">
      <text>
        <t xml:space="preserve">宇治市保险金返还。</t>
      </text>
    </comment>
    <comment authorId="0" ref="D33">
      <text>
        <t xml:space="preserve">应为29850元。</t>
      </text>
    </comment>
    <comment authorId="0" ref="D37">
      <text>
        <t xml:space="preserve">应为18146。</t>
      </text>
    </comment>
    <comment authorId="0" ref="J37">
      <text>
        <t xml:space="preserve">应为93013。
</t>
      </text>
    </comment>
    <comment authorId="0" ref="D38">
      <text>
        <t xml:space="preserve">应为443。</t>
      </text>
    </comment>
    <comment authorId="0" ref="H38">
      <text>
        <t xml:space="preserve">应为-542。</t>
      </text>
    </comment>
    <comment authorId="0" ref="F39">
      <text>
        <t xml:space="preserve">应为324元。</t>
      </text>
    </comment>
    <comment authorId="0" ref="D40">
      <text>
        <t xml:space="preserve">实际为9000日元。</t>
      </text>
    </comment>
  </commentList>
</comments>
</file>

<file path=xl/comments3.xml><?xml version="1.0" encoding="utf-8"?>
<comments xmlns:r="http://schemas.openxmlformats.org/officeDocument/2006/relationships" xmlns="http://schemas.openxmlformats.org/spreadsheetml/2006/main">
  <authors>
    <author/>
  </authors>
  <commentList>
    <comment authorId="0" ref="I2">
      <text>
        <t xml:space="preserve">包括尾号为545，008，668的三张卡。</t>
      </text>
    </comment>
  </commentList>
</comments>
</file>

<file path=xl/comments4.xml><?xml version="1.0" encoding="utf-8"?>
<comments xmlns:r="http://schemas.openxmlformats.org/officeDocument/2006/relationships" xmlns="http://schemas.openxmlformats.org/spreadsheetml/2006/main">
  <authors>
    <author/>
  </authors>
  <commentList>
    <comment authorId="0" ref="I2">
      <text>
        <t xml:space="preserve">包括尾号为545，008，668的三张卡。</t>
      </text>
    </comment>
  </commentList>
</comments>
</file>

<file path=xl/comments5.xml><?xml version="1.0" encoding="utf-8"?>
<comments xmlns:r="http://schemas.openxmlformats.org/officeDocument/2006/relationships" xmlns="http://schemas.openxmlformats.org/spreadsheetml/2006/main">
  <authors>
    <author/>
  </authors>
  <commentList>
    <comment authorId="0" ref="I2">
      <text>
        <t xml:space="preserve">包括尾号为545，008，668的三张卡。</t>
      </text>
    </comment>
  </commentList>
</comments>
</file>

<file path=xl/comments6.xml><?xml version="1.0" encoding="utf-8"?>
<comments xmlns:r="http://schemas.openxmlformats.org/officeDocument/2006/relationships" xmlns="http://schemas.openxmlformats.org/spreadsheetml/2006/main">
  <authors>
    <author/>
  </authors>
  <commentList>
    <comment authorId="0" ref="I2">
      <text>
        <t xml:space="preserve">包括尾号为545，008，668的三张卡。</t>
      </text>
    </comment>
  </commentList>
</comments>
</file>

<file path=xl/comments7.xml><?xml version="1.0" encoding="utf-8"?>
<comments xmlns:r="http://schemas.openxmlformats.org/officeDocument/2006/relationships" xmlns="http://schemas.openxmlformats.org/spreadsheetml/2006/main">
  <authors>
    <author/>
  </authors>
  <commentList>
    <comment authorId="0" ref="I2">
      <text>
        <t xml:space="preserve">包括尾号为545，008，668的三张卡。</t>
      </text>
    </comment>
  </commentList>
</comments>
</file>

<file path=xl/comments8.xml><?xml version="1.0" encoding="utf-8"?>
<comments xmlns:r="http://schemas.openxmlformats.org/officeDocument/2006/relationships" xmlns="http://schemas.openxmlformats.org/spreadsheetml/2006/main">
  <authors>
    <author/>
  </authors>
  <commentList>
    <comment authorId="0" ref="I2">
      <text>
        <t xml:space="preserve">包括尾号为545，008，668的三张卡。</t>
      </text>
    </comment>
  </commentList>
</comments>
</file>

<file path=xl/comments9.xml><?xml version="1.0" encoding="utf-8"?>
<comments xmlns:r="http://schemas.openxmlformats.org/officeDocument/2006/relationships" xmlns="http://schemas.openxmlformats.org/spreadsheetml/2006/main">
  <authors>
    <author/>
  </authors>
  <commentList>
    <comment authorId="0" ref="I2">
      <text>
        <t xml:space="preserve">包括尾号为545，008，668的三张卡。</t>
      </text>
    </comment>
  </commentList>
</comments>
</file>

<file path=xl/comments10.xml><?xml version="1.0" encoding="utf-8"?>
<comments xmlns:r="http://schemas.openxmlformats.org/officeDocument/2006/relationships" xmlns="http://schemas.openxmlformats.org/spreadsheetml/2006/main">
  <authors>
    <author/>
  </authors>
  <commentList>
    <comment authorId="0" ref="I2">
      <text>
        <t xml:space="preserve">包括尾号为545，008，668的三张卡。</t>
      </text>
    </comment>
  </commentList>
</comments>
</file>

<file path=xl/comments11.xml><?xml version="1.0" encoding="utf-8"?>
<comments xmlns:r="http://schemas.openxmlformats.org/officeDocument/2006/relationships" xmlns="http://schemas.openxmlformats.org/spreadsheetml/2006/main">
  <authors>
    <author/>
  </authors>
  <commentList>
    <comment authorId="0" ref="I2">
      <text>
        <t xml:space="preserve">包括尾号为545，008，668的三张卡。</t>
      </text>
    </comment>
  </commentList>
</comments>
</file>

<file path=xl/comments12.xml><?xml version="1.0" encoding="utf-8"?>
<comments xmlns:r="http://schemas.openxmlformats.org/officeDocument/2006/relationships" xmlns="http://schemas.openxmlformats.org/spreadsheetml/2006/main">
  <authors>
    <author/>
  </authors>
  <commentList>
    <comment authorId="0" ref="E2">
      <text>
        <t xml:space="preserve">Paypay+京大学生卡+PayPal+移动日本话费账户</t>
      </text>
    </comment>
    <comment authorId="0" ref="I2">
      <text>
        <t xml:space="preserve">包括尾号为545，008，668的三张卡。</t>
      </text>
    </comment>
  </commentList>
</comments>
</file>

<file path=xl/comments13.xml><?xml version="1.0" encoding="utf-8"?>
<comments xmlns:r="http://schemas.openxmlformats.org/officeDocument/2006/relationships" xmlns="http://schemas.openxmlformats.org/spreadsheetml/2006/main">
  <authors>
    <author/>
  </authors>
  <commentList>
    <comment authorId="0" ref="D2">
      <text>
        <t xml:space="preserve">电热鞋垫。</t>
      </text>
    </comment>
    <comment authorId="0" ref="E7">
      <text>
        <t xml:space="preserve">百元店。</t>
      </text>
    </comment>
    <comment authorId="0" ref="L7">
      <text>
        <t xml:space="preserve">百元店。</t>
      </text>
    </comment>
    <comment authorId="0" ref="E11">
      <text>
        <t xml:space="preserve">托谭潇洋买纸巾；到张珺家作客买酒。</t>
      </text>
    </comment>
    <comment authorId="0" ref="L11">
      <text>
        <t xml:space="preserve">托谭潇洋买纸巾；到张珺家作客买酒。</t>
      </text>
    </comment>
    <comment authorId="0" ref="E12">
      <text>
        <t xml:space="preserve">五金店的包装纸。</t>
      </text>
    </comment>
    <comment authorId="0" ref="L12">
      <text>
        <t xml:space="preserve">五金店的包装纸。</t>
      </text>
    </comment>
    <comment authorId="0" ref="E15">
      <text>
        <t xml:space="preserve">包装材料等。</t>
      </text>
    </comment>
    <comment authorId="0" ref="L15">
      <text>
        <t xml:space="preserve">包装材料等。</t>
      </text>
    </comment>
    <comment authorId="0" ref="E16">
      <text>
        <t xml:space="preserve">酒精瓶等。</t>
      </text>
    </comment>
    <comment authorId="0" ref="L16">
      <text>
        <t xml:space="preserve">酒精瓶等。</t>
      </text>
    </comment>
    <comment authorId="0" ref="E17">
      <text>
        <t xml:space="preserve">亚马逊会员费。</t>
      </text>
    </comment>
    <comment authorId="0" ref="L17">
      <text>
        <t xml:space="preserve">亚马逊会员费。</t>
      </text>
    </comment>
    <comment authorId="0" ref="D18">
      <text>
        <t xml:space="preserve">厨房刀。</t>
      </text>
    </comment>
    <comment authorId="0" ref="E18">
      <text>
        <t xml:space="preserve">酒精瓶。</t>
      </text>
    </comment>
    <comment authorId="0" ref="K18">
      <text>
        <t xml:space="preserve">厨房刀。</t>
      </text>
    </comment>
    <comment authorId="0" ref="L18">
      <text>
        <t xml:space="preserve">酒精瓶。</t>
      </text>
    </comment>
    <comment authorId="0" ref="D19">
      <text>
        <t xml:space="preserve">四公里外桌椅；砧板。</t>
      </text>
    </comment>
    <comment authorId="0" ref="E19">
      <text>
        <t xml:space="preserve">洗发露和纸巾等。</t>
      </text>
    </comment>
    <comment authorId="0" ref="K19">
      <text>
        <t xml:space="preserve">四公里外桌椅；砧板。</t>
      </text>
    </comment>
    <comment authorId="0" ref="L19">
      <text>
        <t xml:space="preserve">洗发露和纸巾等。</t>
      </text>
    </comment>
    <comment authorId="0" ref="E20">
      <text>
        <t xml:space="preserve">纸巾。</t>
      </text>
    </comment>
    <comment authorId="0" ref="L20">
      <text>
        <t xml:space="preserve">纸巾。</t>
      </text>
    </comment>
    <comment authorId="0" ref="C21">
      <text>
        <t xml:space="preserve">去山科交通卡充值。</t>
      </text>
    </comment>
    <comment authorId="0" ref="D21">
      <text>
        <t xml:space="preserve">厨房秤；红色棉拖鞋。</t>
      </text>
    </comment>
    <comment authorId="0" ref="E21">
      <text>
        <t xml:space="preserve">纸巾等。</t>
      </text>
    </comment>
    <comment authorId="0" ref="J21">
      <text>
        <t xml:space="preserve">去山科交通卡充值。</t>
      </text>
    </comment>
    <comment authorId="0" ref="K21">
      <text>
        <t xml:space="preserve">厨房秤；红色棉拖鞋。</t>
      </text>
    </comment>
    <comment authorId="0" ref="L21">
      <text>
        <t xml:space="preserve">纸巾等。</t>
      </text>
    </comment>
    <comment authorId="0" ref="E22">
      <text>
        <t xml:space="preserve">卷纸。</t>
      </text>
    </comment>
    <comment authorId="0" ref="L22">
      <text>
        <t xml:space="preserve">卷纸。</t>
      </text>
    </comment>
    <comment authorId="0" ref="D23">
      <text>
        <t xml:space="preserve">中古衣物收纳柜和晾衣杆。</t>
      </text>
    </comment>
    <comment authorId="0" ref="E23">
      <text>
        <t xml:space="preserve">保湿纸巾。</t>
      </text>
    </comment>
    <comment authorId="0" ref="K23">
      <text>
        <t xml:space="preserve">中古衣物收纳柜和晾衣杆。</t>
      </text>
    </comment>
    <comment authorId="0" ref="L23">
      <text>
        <t xml:space="preserve">保湿纸巾。</t>
      </text>
    </comment>
    <comment authorId="0" ref="D24">
      <text>
        <t xml:space="preserve">中古烤箱架。</t>
      </text>
    </comment>
    <comment authorId="0" ref="K24">
      <text>
        <t xml:space="preserve">中古烤箱架。</t>
      </text>
    </comment>
    <comment authorId="0" ref="D25">
      <text>
        <t xml:space="preserve">百元店。</t>
      </text>
    </comment>
    <comment authorId="0" ref="E25">
      <text>
        <t xml:space="preserve">百元店。</t>
      </text>
    </comment>
    <comment authorId="0" ref="K25">
      <text>
        <t xml:space="preserve">百元店。</t>
      </text>
    </comment>
    <comment authorId="0" ref="L25">
      <text>
        <t xml:space="preserve">百元店。</t>
      </text>
    </comment>
    <comment authorId="0" ref="C26">
      <text>
        <t xml:space="preserve">去山科现金购票。</t>
      </text>
    </comment>
    <comment authorId="0" ref="D26">
      <text>
        <t xml:space="preserve">两对窗帘等；锅铲，米箱，铸铁锅，锅盖等；中华铁锅。</t>
      </text>
    </comment>
    <comment authorId="0" ref="J26">
      <text>
        <t xml:space="preserve">去山科现金购票。</t>
      </text>
    </comment>
    <comment authorId="0" ref="K26">
      <text>
        <t xml:space="preserve">两对窗帘等；锅铲，米箱，铸铁锅，锅盖等；中华铁锅。</t>
      </text>
    </comment>
    <comment authorId="0" ref="D27">
      <text>
        <t xml:space="preserve">Seria厨房小件物品；中古挂衣架；珠帘。</t>
      </text>
    </comment>
    <comment authorId="0" ref="E27">
      <text>
        <t xml:space="preserve">干燥剂；厨房用品如锡纸和保鲜膜等；百元店；身体乳。</t>
      </text>
    </comment>
    <comment authorId="0" ref="K27">
      <text>
        <t xml:space="preserve">Seria厨房小件物品；中古挂衣架；珠帘。</t>
      </text>
    </comment>
    <comment authorId="0" ref="L27">
      <text>
        <t xml:space="preserve">化妆笔；干燥剂；厨房用品如锡纸和保鲜膜等；百元店；身体乳。</t>
      </text>
    </comment>
    <comment authorId="0" ref="D29">
      <text>
        <t xml:space="preserve">雨伞；路由器。</t>
      </text>
    </comment>
    <comment authorId="0" ref="E29">
      <text>
        <t xml:space="preserve">信封和邮票等。</t>
      </text>
    </comment>
    <comment authorId="0" ref="K29">
      <text>
        <t xml:space="preserve">雨伞；路由器。</t>
      </text>
    </comment>
    <comment authorId="0" ref="L29">
      <text>
        <t xml:space="preserve">信封和邮票等。</t>
      </text>
    </comment>
    <comment authorId="0" ref="D31">
      <text>
        <t xml:space="preserve">椅子；布面凳子。</t>
      </text>
    </comment>
    <comment authorId="0" ref="K31">
      <text>
        <t xml:space="preserve">椅子；布面凳子。</t>
      </text>
    </comment>
    <comment authorId="0" ref="B32">
      <text>
        <t xml:space="preserve">小兔子付款部分，包括淘宝食材。</t>
      </text>
    </comment>
    <comment authorId="0" ref="C32">
      <text>
        <t xml:space="preserve">新干线从东京到京都。</t>
      </text>
    </comment>
    <comment authorId="0" ref="D32">
      <text>
        <t xml:space="preserve">小兔子付款部分，可能是百元店。</t>
      </text>
    </comment>
    <comment authorId="0" ref="E32">
      <text>
        <t xml:space="preserve">邮寄用箱子及邮寄费用；冰箱和洗衣机邮寄费用；气电费；房租头金；网课健身和健康食谱课程；2月份电话费；国民健康保险费。</t>
      </text>
    </comment>
    <comment authorId="0" ref="L32">
      <text>
        <t xml:space="preserve">邮寄用箱子及邮寄费用；2月份电话费。</t>
      </text>
    </comment>
  </commentList>
</comments>
</file>

<file path=xl/comments14.xml><?xml version="1.0" encoding="utf-8"?>
<comments xmlns:r="http://schemas.openxmlformats.org/officeDocument/2006/relationships" xmlns="http://schemas.openxmlformats.org/spreadsheetml/2006/main">
  <authors>
    <author/>
  </authors>
  <commentList>
    <comment authorId="0" ref="C2">
      <text>
        <t xml:space="preserve">兔子打的京都站到吉田寮。</t>
      </text>
    </comment>
    <comment authorId="0" ref="E2">
      <text>
        <t xml:space="preserve">牙刷和安全措施；百元店。</t>
      </text>
    </comment>
    <comment authorId="0" ref="J2">
      <text>
        <t xml:space="preserve">兔子打的京都站到吉田寮。</t>
      </text>
    </comment>
    <comment authorId="0" ref="E3">
      <text>
        <t xml:space="preserve">滚筒。</t>
      </text>
    </comment>
    <comment authorId="0" ref="D6">
      <text>
        <t xml:space="preserve">平板支架。</t>
      </text>
    </comment>
    <comment authorId="0" ref="E12">
      <text>
        <t xml:space="preserve">牙刷和洗浴等。</t>
      </text>
    </comment>
    <comment authorId="0" ref="L12">
      <text>
        <t xml:space="preserve">牙刷和洗浴等。</t>
      </text>
    </comment>
    <comment authorId="0" ref="E17">
      <text>
        <t xml:space="preserve">亚马逊会员费。</t>
      </text>
    </comment>
    <comment authorId="0" ref="L17">
      <text>
        <t xml:space="preserve">文具。</t>
      </text>
    </comment>
    <comment authorId="0" ref="E21">
      <text>
        <t xml:space="preserve">生发剂。</t>
      </text>
    </comment>
    <comment authorId="0" ref="E22">
      <text>
        <t xml:space="preserve">Grammarly年费；高度酒生命之水。</t>
      </text>
    </comment>
    <comment authorId="0" ref="L22">
      <text>
        <t xml:space="preserve">Grammarly年费。</t>
      </text>
    </comment>
    <comment authorId="0" ref="K23">
      <text>
        <t xml:space="preserve">橡皮筋。</t>
      </text>
    </comment>
    <comment authorId="0" ref="E24">
      <text>
        <t xml:space="preserve">租用wifi。</t>
      </text>
    </comment>
    <comment authorId="0" ref="L24">
      <text>
        <t xml:space="preserve">租用wifi。</t>
      </text>
    </comment>
    <comment authorId="0" ref="E26">
      <text>
        <t xml:space="preserve">纸巾，温度计，牙膏，袋子等。</t>
      </text>
    </comment>
    <comment authorId="0" ref="L26">
      <text>
        <t xml:space="preserve">纸巾，温度计，牙膏，袋子等。</t>
      </text>
    </comment>
    <comment authorId="0" ref="L28">
      <text>
        <t xml:space="preserve">精华。</t>
      </text>
    </comment>
    <comment authorId="0" ref="B30">
      <text>
        <t xml:space="preserve">兔子总结的分摊的伙食费。</t>
      </text>
    </comment>
    <comment authorId="0" ref="D30">
      <text>
        <t xml:space="preserve">Can do买的一堆东西。</t>
      </text>
    </comment>
    <comment authorId="0" ref="E30">
      <text>
        <t xml:space="preserve">1月份电话费；药店以及和兔子分摊水电费。</t>
      </text>
    </comment>
  </commentList>
</comments>
</file>

<file path=xl/comments15.xml><?xml version="1.0" encoding="utf-8"?>
<comments xmlns:r="http://schemas.openxmlformats.org/officeDocument/2006/relationships" xmlns="http://schemas.openxmlformats.org/spreadsheetml/2006/main">
  <authors>
    <author/>
  </authors>
  <commentList>
    <comment authorId="0" ref="J3">
      <text>
        <t xml:space="preserve">出去玩之前充值1000，晚上九点充值2000，按当天所花交通费1300算。</t>
      </text>
    </comment>
    <comment authorId="0" ref="D7">
      <text>
        <t xml:space="preserve">充电器。</t>
      </text>
    </comment>
    <comment authorId="0" ref="K7">
      <text>
        <t xml:space="preserve">袜子；橡皮筋等；充电器。</t>
      </text>
    </comment>
    <comment authorId="0" ref="D9">
      <text>
        <t xml:space="preserve">打扫用湿巾等。</t>
      </text>
    </comment>
    <comment authorId="0" ref="K9">
      <text>
        <t xml:space="preserve">打扫用湿巾等。</t>
      </text>
    </comment>
    <comment authorId="0" ref="K10">
      <text>
        <t xml:space="preserve">电脑包。</t>
      </text>
    </comment>
    <comment authorId="0" ref="D12">
      <text>
        <t xml:space="preserve">螺丝刀和绕线器等。</t>
      </text>
    </comment>
    <comment authorId="0" ref="K12">
      <text>
        <t xml:space="preserve">螺丝刀和绕线器等。</t>
      </text>
    </comment>
    <comment authorId="0" ref="K13">
      <text>
        <t xml:space="preserve">生协橡皮筋。</t>
      </text>
    </comment>
    <comment authorId="0" ref="L15">
      <text>
        <t xml:space="preserve">卫生巾。</t>
      </text>
    </comment>
    <comment authorId="0" ref="E17">
      <text>
        <t xml:space="preserve">亚马逊会员费。</t>
      </text>
    </comment>
    <comment authorId="0" ref="D19">
      <text>
        <t xml:space="preserve">松本屋的什么东西。</t>
      </text>
    </comment>
    <comment authorId="0" ref="K19">
      <text>
        <t xml:space="preserve">松本屋的什么东西。</t>
      </text>
    </comment>
    <comment authorId="0" ref="D20">
      <text>
        <t xml:space="preserve">油罐等。</t>
      </text>
    </comment>
    <comment authorId="0" ref="K20">
      <text>
        <t xml:space="preserve">油罐等。</t>
      </text>
    </comment>
    <comment authorId="0" ref="K21">
      <text>
        <t xml:space="preserve">粉底和温湿度计。</t>
      </text>
    </comment>
    <comment authorId="0" ref="E23">
      <text>
        <t xml:space="preserve">可丽饼蛋糕。</t>
      </text>
    </comment>
    <comment authorId="0" ref="K23">
      <text>
        <t xml:space="preserve">连衣裙；丝袜；发卡。</t>
      </text>
    </comment>
    <comment authorId="0" ref="L23">
      <text>
        <t xml:space="preserve">可丽饼蛋糕。</t>
      </text>
    </comment>
    <comment authorId="0" ref="E24">
      <text>
        <t xml:space="preserve">口罩。</t>
      </text>
    </comment>
    <comment authorId="0" ref="L24">
      <text>
        <t xml:space="preserve">口罩。</t>
      </text>
    </comment>
    <comment authorId="0" ref="D25">
      <text>
        <t xml:space="preserve">角落生物小虾尾和贴纸。</t>
      </text>
    </comment>
    <comment authorId="0" ref="K25">
      <text>
        <t xml:space="preserve">角落生物小虾尾和贴纸。</t>
      </text>
    </comment>
    <comment authorId="0" ref="E28">
      <text>
        <t xml:space="preserve">下鸭医院看手指。</t>
      </text>
    </comment>
    <comment authorId="0" ref="D29">
      <text>
        <t xml:space="preserve">毛巾。</t>
      </text>
    </comment>
    <comment authorId="0" ref="E30">
      <text>
        <t xml:space="preserve">给兔子邮寄鞋子。</t>
      </text>
    </comment>
    <comment authorId="0" ref="L31">
      <text>
        <t xml:space="preserve">包。</t>
      </text>
    </comment>
    <comment authorId="0" ref="C32">
      <text>
        <t xml:space="preserve">会京都车票。</t>
      </text>
    </comment>
    <comment authorId="0" ref="E32">
      <text>
        <t xml:space="preserve">十二月份电话费；2020年4月到6月的宿舍费；保险费。</t>
      </text>
    </comment>
  </commentList>
</comments>
</file>

<file path=xl/comments16.xml><?xml version="1.0" encoding="utf-8"?>
<comments xmlns:r="http://schemas.openxmlformats.org/officeDocument/2006/relationships" xmlns="http://schemas.openxmlformats.org/spreadsheetml/2006/main">
  <authors>
    <author/>
  </authors>
  <commentList>
    <comment authorId="0" ref="B2">
      <text>
        <t xml:space="preserve">食材；食物；食物；食材；披萨。</t>
      </text>
    </comment>
    <comment authorId="0" ref="D2">
      <text>
        <t xml:space="preserve">挂钩；背包快挂。</t>
      </text>
    </comment>
    <comment authorId="0" ref="I2">
      <text>
        <t xml:space="preserve">食材；食物；食物；食材；披萨。</t>
      </text>
    </comment>
    <comment authorId="0" ref="K2">
      <text>
        <t xml:space="preserve">挂钩。</t>
      </text>
    </comment>
    <comment authorId="0" ref="C3">
      <text>
        <t xml:space="preserve">回京都巴士。</t>
      </text>
    </comment>
    <comment authorId="0" ref="D3">
      <text>
        <t xml:space="preserve">优衣库秋衣秋裤。</t>
      </text>
    </comment>
    <comment authorId="0" ref="K3">
      <text>
        <t xml:space="preserve">毛线帽。</t>
      </text>
    </comment>
    <comment authorId="0" ref="L3">
      <text>
        <t xml:space="preserve">论文彩印页。</t>
      </text>
    </comment>
    <comment authorId="0" ref="D8">
      <text>
        <t xml:space="preserve">耳机。</t>
      </text>
    </comment>
    <comment authorId="0" ref="C11">
      <text>
        <t xml:space="preserve">京都-东京巴士。</t>
      </text>
    </comment>
    <comment authorId="0" ref="E12">
      <text>
        <t xml:space="preserve">兔子香水。</t>
      </text>
    </comment>
    <comment authorId="0" ref="B15">
      <text>
        <t xml:space="preserve">中华物产店猪蹄和排骨等。</t>
      </text>
    </comment>
    <comment authorId="0" ref="E15">
      <text>
        <t xml:space="preserve">あすかい病院问诊费。</t>
      </text>
    </comment>
    <comment authorId="0" ref="B16">
      <text>
        <t xml:space="preserve">蛤蜊盖饭；拉面；给兔子的小吃。</t>
      </text>
    </comment>
    <comment authorId="0" ref="C16">
      <text>
        <t xml:space="preserve">去天桥立交通过路费。</t>
      </text>
    </comment>
    <comment authorId="0" ref="E16">
      <text>
        <t xml:space="preserve">天桥立缆车费用。</t>
      </text>
    </comment>
    <comment authorId="0" ref="C17">
      <text>
        <t xml:space="preserve">公交一日券。</t>
      </text>
    </comment>
    <comment authorId="0" ref="D17">
      <text>
        <t xml:space="preserve">营帐灯和面包夹子等；衣柜伸缩杆；优衣库内裤。</t>
      </text>
    </comment>
    <comment authorId="0" ref="D20">
      <text>
        <t xml:space="preserve">优衣库风衣。</t>
      </text>
    </comment>
    <comment authorId="0" ref="D21">
      <text>
        <t xml:space="preserve">面板取暖器。</t>
      </text>
    </comment>
    <comment authorId="0" ref="E21">
      <text>
        <t xml:space="preserve">眼药水。</t>
      </text>
    </comment>
    <comment authorId="0" ref="D24">
      <text>
        <t xml:space="preserve">ニトリ伸缩杆架子。</t>
      </text>
    </comment>
    <comment authorId="0" ref="D25">
      <text>
        <t xml:space="preserve">百元店挂钩等。</t>
      </text>
    </comment>
    <comment authorId="0" ref="E25">
      <text>
        <t xml:space="preserve">合味道纪念馆门票。</t>
      </text>
    </comment>
    <comment authorId="0" ref="K25">
      <text>
        <t xml:space="preserve">百元店挂钩等。</t>
      </text>
    </comment>
    <comment authorId="0" ref="L25">
      <text>
        <t xml:space="preserve">合味道纪念馆门票。</t>
      </text>
    </comment>
    <comment authorId="0" ref="B26">
      <text>
        <t xml:space="preserve">热海便利店；热海花园小饼干。</t>
      </text>
    </comment>
    <comment authorId="0" ref="I26">
      <text>
        <t xml:space="preserve">热海便利店；热海花园小饼干。</t>
      </text>
    </comment>
    <comment authorId="0" ref="B27">
      <text>
        <t xml:space="preserve">食物；糯米串串；火锅食材；糯米串串；小鱼盖饭；甜馒头。</t>
      </text>
    </comment>
    <comment authorId="0" ref="E27">
      <text>
        <t xml:space="preserve">热海温泉住宿；伴手礼。</t>
      </text>
    </comment>
    <comment authorId="0" ref="I27">
      <text>
        <t xml:space="preserve">食物；糯米串串；火锅食材；糯米串串；小鱼盖饭；甜馒头。</t>
      </text>
    </comment>
    <comment authorId="0" ref="L27">
      <text>
        <t xml:space="preserve">热海温泉住宿；伴手礼。</t>
      </text>
    </comment>
    <comment authorId="0" ref="B30">
      <text>
        <t xml:space="preserve">食物；食物；食物；小蛋糕；栗子烧鸡和河豚等。</t>
      </text>
    </comment>
    <comment authorId="0" ref="D30">
      <text>
        <t xml:space="preserve">皮鞋；ニトリ拖鞋。</t>
      </text>
    </comment>
    <comment authorId="0" ref="E30">
      <text>
        <t xml:space="preserve">沐浴露。</t>
      </text>
    </comment>
    <comment authorId="0" ref="I30">
      <text>
        <t xml:space="preserve">食物；食物；食物；小蛋糕；栗子烧鸡和河豚等。</t>
      </text>
    </comment>
    <comment authorId="0" ref="K30">
      <text>
        <t xml:space="preserve">ニトリ拖鞋。</t>
      </text>
    </comment>
    <comment authorId="0" ref="L30">
      <text>
        <t xml:space="preserve">沐浴露。</t>
      </text>
    </comment>
    <comment authorId="0" ref="E32">
      <text>
        <t xml:space="preserve">十一月份电话费。</t>
      </text>
    </comment>
  </commentList>
</comments>
</file>

<file path=xl/comments17.xml><?xml version="1.0" encoding="utf-8"?>
<comments xmlns:r="http://schemas.openxmlformats.org/officeDocument/2006/relationships" xmlns="http://schemas.openxmlformats.org/spreadsheetml/2006/main">
  <authors>
    <author/>
  </authors>
  <commentList>
    <comment authorId="0" ref="B2">
      <text>
        <t xml:space="preserve">橘子。</t>
      </text>
    </comment>
    <comment authorId="0" ref="C2">
      <text>
        <t xml:space="preserve">天安回首尔的巴士；韩国交通卡充值。</t>
      </text>
    </comment>
    <comment authorId="0" ref="E2">
      <text>
        <t xml:space="preserve">身体乳。</t>
      </text>
    </comment>
    <comment authorId="0" ref="K2">
      <text>
        <t xml:space="preserve">小兔子的洗鼻器等，实际消费发生在10月份。</t>
      </text>
    </comment>
    <comment authorId="0" ref="L2">
      <text>
        <t xml:space="preserve">身体乳。</t>
      </text>
    </comment>
    <comment authorId="0" ref="C3">
      <text>
        <t xml:space="preserve">韩国交通卡充值。</t>
      </text>
    </comment>
    <comment authorId="0" ref="B4">
      <text>
        <t xml:space="preserve">韩国国立美术馆边便利店门票；回到日本后的便利店三明治和烤串。</t>
      </text>
    </comment>
    <comment authorId="0" ref="E4">
      <text>
        <t xml:space="preserve">景福宫门票；韩国国立美术馆门票；给组内和拉面店买伴手礼；地铁站存行李等。</t>
      </text>
    </comment>
    <comment authorId="0" ref="E5">
      <text>
        <t xml:space="preserve">垃圾袋。</t>
      </text>
    </comment>
    <comment authorId="0" ref="B8">
      <text>
        <t xml:space="preserve">中华物产店批量调味料购买；请司机和令杰吃火锅。</t>
      </text>
    </comment>
    <comment authorId="0" ref="D8">
      <text>
        <t xml:space="preserve">碗架等。</t>
      </text>
    </comment>
    <comment authorId="0" ref="E12">
      <text>
        <t xml:space="preserve">宝宝霜。</t>
      </text>
    </comment>
    <comment authorId="0" ref="K12">
      <text>
        <t xml:space="preserve">袜子，袜子。</t>
      </text>
    </comment>
    <comment authorId="0" ref="L12">
      <text>
        <t xml:space="preserve">宝宝霜。</t>
      </text>
    </comment>
    <comment authorId="0" ref="B17">
      <text>
        <t xml:space="preserve">董昊辰一起香道视频录制，报销工作餐和饮料哈哈，我出了香和底座的钱。</t>
      </text>
    </comment>
    <comment authorId="0" ref="D17">
      <text>
        <t xml:space="preserve">小太阳闹钟；打火机。</t>
      </text>
    </comment>
    <comment authorId="0" ref="K17">
      <text>
        <t xml:space="preserve">小太阳闹钟。</t>
      </text>
    </comment>
    <comment authorId="0" ref="D18">
      <text>
        <t xml:space="preserve">家居。</t>
      </text>
    </comment>
    <comment authorId="0" ref="E18">
      <text>
        <t xml:space="preserve">该死的PayPal，不能转账还扣我钱。</t>
      </text>
    </comment>
    <comment authorId="0" ref="D19">
      <text>
        <t xml:space="preserve">给兔子的礼物麋鹿和雪人。</t>
      </text>
    </comment>
    <comment authorId="0" ref="K19">
      <text>
        <t xml:space="preserve">健康枕头信用卡付款。</t>
      </text>
    </comment>
    <comment authorId="0" ref="E21">
      <text>
        <t xml:space="preserve">安全措施。</t>
      </text>
    </comment>
    <comment authorId="0" ref="L21">
      <text>
        <t xml:space="preserve">安全措施。</t>
      </text>
    </comment>
    <comment authorId="0" ref="B24">
      <text>
        <t xml:space="preserve">和王挺吃饭；购买食材包括大米和调味料。</t>
      </text>
    </comment>
    <comment authorId="0" ref="I24">
      <text>
        <t xml:space="preserve">购买食材包括大米和调味料。</t>
      </text>
    </comment>
    <comment authorId="0" ref="J24">
      <text>
        <t xml:space="preserve">交通卡充值。</t>
      </text>
    </comment>
    <comment authorId="0" ref="B26">
      <text>
        <t xml:space="preserve">食物；食物；新龙门餐厅。</t>
      </text>
    </comment>
    <comment authorId="0" ref="I26">
      <text>
        <t xml:space="preserve">食物；食物；新龙门餐厅。</t>
      </text>
    </comment>
    <comment authorId="0" ref="B29">
      <text>
        <t xml:space="preserve">食物；食物；食物；森川食堂。</t>
      </text>
    </comment>
    <comment authorId="0" ref="I29">
      <text>
        <t xml:space="preserve">食物；食物；食物；森川食堂。</t>
      </text>
    </comment>
    <comment authorId="0" ref="K29">
      <text>
        <t xml:space="preserve">装订用钉子。</t>
      </text>
    </comment>
    <comment authorId="0" ref="D30">
      <text>
        <t xml:space="preserve">铃铛；印泥。</t>
      </text>
    </comment>
    <comment authorId="0" ref="E30">
      <text>
        <t xml:space="preserve">给鞠咪和媛媛的围巾。</t>
      </text>
    </comment>
    <comment authorId="0" ref="K30">
      <text>
        <t xml:space="preserve">铃铛；印泥。</t>
      </text>
    </comment>
    <comment authorId="0" ref="L30">
      <text>
        <t xml:space="preserve">给鞠咪和媛媛的围巾；寄材料邮票和信封。</t>
      </text>
    </comment>
    <comment authorId="0" ref="B31">
      <text>
        <t xml:space="preserve">食物；食物；食物；荣本新龙门。</t>
      </text>
    </comment>
    <comment authorId="0" ref="E31">
      <text>
        <t xml:space="preserve">十月份电话费，因为有国际通话所以比较贵。</t>
      </text>
    </comment>
    <comment authorId="0" ref="I31">
      <text>
        <t xml:space="preserve">食物；食物；食物；荣本新龙门。</t>
      </text>
    </comment>
    <comment authorId="0" ref="L31">
      <text>
        <t xml:space="preserve">寄材料；论文彩印页。</t>
      </text>
    </comment>
  </commentList>
</comments>
</file>

<file path=xl/comments18.xml><?xml version="1.0" encoding="utf-8"?>
<comments xmlns:r="http://schemas.openxmlformats.org/officeDocument/2006/relationships" xmlns="http://schemas.openxmlformats.org/spreadsheetml/2006/main">
  <authors>
    <author/>
  </authors>
  <commentList>
    <comment authorId="0" ref="D2">
      <text>
        <t xml:space="preserve">亚马逊睡裙。</t>
      </text>
    </comment>
    <comment authorId="0" ref="E4">
      <text>
        <t xml:space="preserve">纸巾等；米诺地尔。</t>
      </text>
    </comment>
    <comment authorId="0" ref="L4">
      <text>
        <t xml:space="preserve">卫生巾和安心裤等。</t>
      </text>
    </comment>
    <comment authorId="0" ref="M4">
      <text>
        <t xml:space="preserve">纸巾等。</t>
      </text>
    </comment>
    <comment authorId="0" ref="D5">
      <text>
        <t xml:space="preserve">牙刷。</t>
      </text>
    </comment>
    <comment authorId="0" ref="L5">
      <text>
        <t xml:space="preserve">牙刷。</t>
      </text>
    </comment>
    <comment authorId="0" ref="B6">
      <text>
        <t xml:space="preserve">回转寿司，零食水果，山顶糯米团子。</t>
      </text>
    </comment>
    <comment authorId="0" ref="C6">
      <text>
        <t xml:space="preserve">筑波山索道和公交车上充钱。</t>
      </text>
    </comment>
    <comment authorId="0" ref="J6">
      <text>
        <t xml:space="preserve">回转寿司，零食水果，山顶糯米团子。</t>
      </text>
    </comment>
    <comment authorId="0" ref="K6">
      <text>
        <t xml:space="preserve">筑波山索道和公交车上充钱。</t>
      </text>
    </comment>
    <comment authorId="0" ref="C7">
      <text>
        <t xml:space="preserve">购买筑波快线优惠票。</t>
      </text>
    </comment>
    <comment authorId="0" ref="D7">
      <text>
        <t xml:space="preserve">花盆；帽子。</t>
      </text>
    </comment>
    <comment authorId="0" ref="K7">
      <text>
        <t xml:space="preserve">购买筑波快线优惠票。</t>
      </text>
    </comment>
    <comment authorId="0" ref="L7">
      <text>
        <t xml:space="preserve">花盆。</t>
      </text>
    </comment>
    <comment authorId="0" ref="M7">
      <text>
        <t xml:space="preserve">GAP的衣服。</t>
      </text>
    </comment>
    <comment authorId="0" ref="E8">
      <text>
        <t xml:space="preserve">厕所芳香剂。</t>
      </text>
    </comment>
    <comment authorId="0" ref="M8">
      <text>
        <t xml:space="preserve">厕所芳香剂；支付给媛媛2000后的余额。</t>
      </text>
    </comment>
    <comment authorId="0" ref="B11">
      <text>
        <t xml:space="preserve">防灾食物和食堂伙食费；海鲜饭。</t>
      </text>
    </comment>
    <comment authorId="0" ref="D11">
      <text>
        <t xml:space="preserve">手电筒，扳手，茶包等。</t>
      </text>
    </comment>
    <comment authorId="0" ref="J11">
      <text>
        <t xml:space="preserve">防灾食物和食堂伙食费；海鲜饭。</t>
      </text>
    </comment>
    <comment authorId="0" ref="L11">
      <text>
        <t xml:space="preserve">手电筒，扳手，茶包等。</t>
      </text>
    </comment>
    <comment authorId="0" ref="D18">
      <text>
        <t xml:space="preserve">电饭煲。</t>
      </text>
    </comment>
    <comment authorId="0" ref="E18">
      <text>
        <t xml:space="preserve">印名片。</t>
      </text>
    </comment>
    <comment authorId="0" ref="E19">
      <text>
        <t xml:space="preserve">ライフ会员卡；给兔子买坚果。</t>
      </text>
    </comment>
    <comment authorId="0" ref="E20">
      <text>
        <t xml:space="preserve">手套等。</t>
      </text>
    </comment>
    <comment authorId="0" ref="E21">
      <text>
        <t xml:space="preserve">厨房清洁剂等。</t>
      </text>
    </comment>
    <comment authorId="0" ref="D23">
      <text>
        <t xml:space="preserve">棉被床垫等，兔子赞助了一部分。</t>
      </text>
    </comment>
    <comment authorId="0" ref="E24">
      <text>
        <t xml:space="preserve">锁和种子；大国购物。</t>
      </text>
    </comment>
    <comment authorId="0" ref="E27">
      <text>
        <t xml:space="preserve">买去韩国用的电话卡。</t>
      </text>
    </comment>
    <comment authorId="0" ref="E29">
      <text>
        <t xml:space="preserve">漱口水等。</t>
      </text>
    </comment>
    <comment authorId="0" ref="C30">
      <text>
        <t xml:space="preserve">机场巴士往返；交通卡充值。</t>
      </text>
    </comment>
    <comment authorId="0" ref="E30">
      <text>
        <t xml:space="preserve">兔子的小情趣礼物。</t>
      </text>
    </comment>
    <comment authorId="0" ref="B31">
      <text>
        <t xml:space="preserve">韩国中国餐厅炸酱面；牛奶和饭团。</t>
      </text>
    </comment>
    <comment authorId="0" ref="C31">
      <text>
        <t xml:space="preserve">到韩国后买交通卡和充值。</t>
      </text>
    </comment>
    <comment authorId="0" ref="B32">
      <text>
        <t xml:space="preserve">首尔大学食堂午餐石锅；夜宵炸鸡；买苹果。</t>
      </text>
    </comment>
    <comment authorId="0" ref="C32">
      <text>
        <t xml:space="preserve">早晨打的去会场。</t>
      </text>
    </comment>
    <comment authorId="0" ref="E32">
      <text>
        <t xml:space="preserve">健康保险；捐赠给自己的众筹；九月份话费；ICLEE参会费；开会期间住宿。</t>
      </text>
    </comment>
  </commentList>
</comments>
</file>

<file path=xl/comments19.xml><?xml version="1.0" encoding="utf-8"?>
<comments xmlns:r="http://schemas.openxmlformats.org/officeDocument/2006/relationships" xmlns="http://schemas.openxmlformats.org/spreadsheetml/2006/main">
  <authors>
    <author/>
  </authors>
  <commentList>
    <comment authorId="0" ref="E3">
      <text>
        <t xml:space="preserve">洗衣店。</t>
      </text>
    </comment>
    <comment authorId="0" ref="D4">
      <text>
        <t xml:space="preserve">透明袋，整理箱。</t>
      </text>
    </comment>
    <comment authorId="0" ref="B6">
      <text>
        <t xml:space="preserve">共同花费；食堂；超甜葡萄。</t>
      </text>
    </comment>
    <comment authorId="0" ref="D8">
      <text>
        <t xml:space="preserve">家里用伸缩杆，除湿剂，清洁用品，架子等。</t>
      </text>
    </comment>
    <comment authorId="0" ref="B9">
      <text>
        <t xml:space="preserve">食物；吃火锅的食材；晚餐煮面食材。</t>
      </text>
    </comment>
    <comment authorId="0" ref="E9">
      <text>
        <t xml:space="preserve">生发剂。</t>
      </text>
    </comment>
    <comment authorId="0" ref="B10">
      <text>
        <t xml:space="preserve">食物；馕。</t>
      </text>
    </comment>
    <comment authorId="0" ref="B11">
      <text>
        <t xml:space="preserve">中华街饮料；便利店；中华街山东饭店和包子。</t>
      </text>
    </comment>
    <comment authorId="0" ref="C11">
      <text>
        <t xml:space="preserve">横滨交通费。</t>
      </text>
    </comment>
    <comment authorId="0" ref="B14">
      <text>
        <t xml:space="preserve">食物；麻辣大学中秋聚餐。</t>
      </text>
    </comment>
    <comment authorId="0" ref="D14">
      <text>
        <t xml:space="preserve">牛奶夹子，自行车锁，自行车除锈等。</t>
      </text>
    </comment>
    <comment authorId="0" ref="E14">
      <text>
        <t xml:space="preserve">东大停车。</t>
      </text>
    </comment>
    <comment authorId="0" ref="B15">
      <text>
        <t xml:space="preserve">食物；食物；后乐园肯德基。</t>
      </text>
    </comment>
    <comment authorId="0" ref="D15">
      <text>
        <t xml:space="preserve">无印良品鞋子，内裤。</t>
      </text>
    </comment>
    <comment authorId="0" ref="E15">
      <text>
        <t xml:space="preserve">过山车；后乐园交通费。</t>
      </text>
    </comment>
    <comment authorId="0" ref="C16">
      <text>
        <t xml:space="preserve">东京站公交费；到京都后的公交费.</t>
      </text>
    </comment>
    <comment authorId="0" ref="E16">
      <text>
        <t xml:space="preserve">国内号码电话费。</t>
      </text>
    </comment>
    <comment authorId="0" ref="C17">
      <text>
        <t xml:space="preserve">宇治往返电车费；交通卡充值。</t>
      </text>
    </comment>
    <comment authorId="0" ref="E17">
      <text>
        <t xml:space="preserve">茶包.</t>
      </text>
    </comment>
    <comment authorId="0" ref="B22">
      <text>
        <t xml:space="preserve">食物；意大利餐厅。</t>
      </text>
    </comment>
    <comment authorId="0" ref="B23">
      <text>
        <t xml:space="preserve">食物；汉堡肉餐厅；京都站附近大阪烧。</t>
      </text>
    </comment>
    <comment authorId="0" ref="E27">
      <text>
        <t xml:space="preserve">宇治市役所打印住民票。</t>
      </text>
    </comment>
    <comment authorId="0" ref="B29">
      <text>
        <t xml:space="preserve">食堂午餐；晚餐泰国菜；夜宵朋克中国餐厅。</t>
      </text>
    </comment>
    <comment authorId="0" ref="C31">
      <text>
        <t xml:space="preserve">大兔子东京-京都巴士；大兔子十月去东京的夜巴。
喜欢大兔子。
</t>
      </text>
    </comment>
    <comment authorId="0" ref="E31">
      <text>
        <t xml:space="preserve">吉田寮半年房租；保险金；8月份电话费；保险金。</t>
      </text>
    </comment>
  </commentList>
</comments>
</file>

<file path=xl/comments20.xml><?xml version="1.0" encoding="utf-8"?>
<comments xmlns:r="http://schemas.openxmlformats.org/officeDocument/2006/relationships" xmlns="http://schemas.openxmlformats.org/spreadsheetml/2006/main">
  <authors>
    <author/>
  </authors>
  <commentList>
    <comment authorId="0" ref="E2">
      <text>
        <t xml:space="preserve">牙膏。</t>
      </text>
    </comment>
    <comment authorId="0" ref="B4">
      <text>
        <t xml:space="preserve">山元面藏乌冬面；京都站附近大排档；京都站购买饮料，水果，牛奶，零食等。</t>
      </text>
    </comment>
    <comment authorId="0" ref="C4">
      <text>
        <t xml:space="preserve">去伏见的一日券。</t>
      </text>
    </comment>
    <comment authorId="0" ref="D4">
      <text>
        <t xml:space="preserve">Right-on短裤；优衣库条纹裤子。</t>
      </text>
    </comment>
    <comment authorId="0" ref="E4">
      <text>
        <t xml:space="preserve">京都动画献花。</t>
      </text>
    </comment>
    <comment authorId="0" ref="B5">
      <text>
        <t xml:space="preserve">餐费；餐费；次日请老王和鞠咪的食材费；中华物产店。</t>
      </text>
    </comment>
    <comment authorId="0" ref="E5">
      <text>
        <t xml:space="preserve">卷纸。</t>
      </text>
    </comment>
    <comment authorId="0" ref="D6">
      <text>
        <t xml:space="preserve">切片器和油刷等。</t>
      </text>
    </comment>
    <comment authorId="0" ref="E6">
      <text>
        <t xml:space="preserve">买了一本收据。</t>
      </text>
    </comment>
    <comment authorId="0" ref="E7">
      <text>
        <t xml:space="preserve">电风扇；剃须刀。</t>
      </text>
    </comment>
    <comment authorId="0" ref="B9">
      <text>
        <t xml:space="preserve">岡北面店；超市购物；超市购物。</t>
      </text>
    </comment>
    <comment authorId="0" ref="D9">
      <text>
        <t xml:space="preserve">剃须刀；电风扇。</t>
      </text>
    </comment>
    <comment authorId="0" ref="E9">
      <text>
        <t xml:space="preserve">生日蛋糕。</t>
      </text>
    </comment>
    <comment authorId="0" ref="B10">
      <text>
        <t xml:space="preserve">餐费；团子。</t>
      </text>
    </comment>
    <comment authorId="0" ref="B11">
      <text>
        <t xml:space="preserve">餐费；超市食材；披萨。</t>
      </text>
    </comment>
    <comment authorId="0" ref="C12">
      <text>
        <t xml:space="preserve">交通费充值总计。</t>
      </text>
    </comment>
    <comment authorId="0" ref="E12">
      <text>
        <t xml:space="preserve">花火大会炒冰。</t>
      </text>
    </comment>
    <comment authorId="0" ref="E13">
      <text>
        <t xml:space="preserve">羞羞安全。</t>
      </text>
    </comment>
    <comment authorId="0" ref="B14">
      <text>
        <t xml:space="preserve">食物；一番星拉面；麦茶。</t>
      </text>
    </comment>
    <comment authorId="0" ref="E14">
      <text>
        <t xml:space="preserve">卫生巾。</t>
      </text>
    </comment>
    <comment authorId="0" ref="B16">
      <text>
        <t xml:space="preserve">午餐鸡腿。</t>
      </text>
    </comment>
    <comment authorId="0" ref="E16">
      <text>
        <t xml:space="preserve">自行车铃。</t>
      </text>
    </comment>
    <comment authorId="0" ref="B19">
      <text>
        <t xml:space="preserve">长江边中餐；便利店；中华物产店排骨等。</t>
      </text>
    </comment>
    <comment authorId="0" ref="B21">
      <text>
        <t xml:space="preserve">食物；泰国餐厅。</t>
      </text>
    </comment>
    <comment authorId="0" ref="E26">
      <text>
        <t xml:space="preserve">芒果酒。</t>
      </text>
    </comment>
    <comment authorId="0" ref="E27">
      <text>
        <t xml:space="preserve">给小兔子的饭钱。</t>
      </text>
    </comment>
    <comment authorId="0" ref="E28">
      <text>
        <t xml:space="preserve">和雪峰去泡澡。</t>
      </text>
    </comment>
    <comment authorId="0" ref="E29">
      <text>
        <t xml:space="preserve">下鸭神社光之祭。</t>
      </text>
    </comment>
    <comment authorId="0" ref="E30">
      <text>
        <t xml:space="preserve">修车；足贴。</t>
      </text>
    </comment>
    <comment authorId="0" ref="E31">
      <text>
        <t xml:space="preserve">卫生用品。</t>
      </text>
    </comment>
    <comment authorId="0" ref="C32">
      <text>
        <t xml:space="preserve">兔子东京-京都巴士；兔子京都-东京新干线；我京都-东京巴士。</t>
      </text>
    </comment>
    <comment authorId="0" ref="D32">
      <text>
        <t xml:space="preserve">兔子的浴衣。</t>
      </text>
    </comment>
    <comment authorId="0" ref="E32">
      <text>
        <t xml:space="preserve">房租；自行车撤去罚款；兔子生日宴会用电子蜡烛，眼罩，烟花，生巧克力；猫的生日礼物，猫科相关书；燕锋生日红包；7月份电话费。</t>
      </text>
    </comment>
  </commentList>
</comments>
</file>

<file path=xl/comments21.xml><?xml version="1.0" encoding="utf-8"?>
<comments xmlns:r="http://schemas.openxmlformats.org/officeDocument/2006/relationships" xmlns="http://schemas.openxmlformats.org/spreadsheetml/2006/main">
  <authors>
    <author/>
  </authors>
  <commentList>
    <comment authorId="0" ref="D25">
      <text>
        <t xml:space="preserve">在大国购买挂钩，驱虫药，螺丝钉等。</t>
      </text>
    </comment>
    <comment authorId="0" ref="D26">
      <text>
        <t xml:space="preserve">购物。</t>
      </text>
    </comment>
    <comment authorId="0" ref="B27">
      <text>
        <t xml:space="preserve">请董昊辰娜娜家里吃饭；晚餐。</t>
      </text>
    </comment>
    <comment authorId="0" ref="E27">
      <text>
        <t xml:space="preserve">下个月龟冈花火大会购票。</t>
      </text>
    </comment>
    <comment authorId="0" ref="D32">
      <text>
        <t xml:space="preserve">厨房手套，文件夹，风铃等。</t>
      </text>
    </comment>
    <comment authorId="0" ref="E32">
      <text>
        <t xml:space="preserve">房租；保险金；可能是下个月保险金；六月份电话费，从本月开始各种收支按照实际发生的时间计算。</t>
      </text>
    </comment>
  </commentList>
</comments>
</file>

<file path=xl/comments22.xml><?xml version="1.0" encoding="utf-8"?>
<comments xmlns:r="http://schemas.openxmlformats.org/officeDocument/2006/relationships" xmlns="http://schemas.openxmlformats.org/spreadsheetml/2006/main">
  <authors>
    <author/>
  </authors>
  <commentList>
    <comment authorId="0" ref="D3">
      <text>
        <t xml:space="preserve">兔子的耳机。</t>
      </text>
    </comment>
    <comment authorId="0" ref="E10">
      <text>
        <t xml:space="preserve">牙签。</t>
      </text>
    </comment>
    <comment authorId="0" ref="E12">
      <text>
        <t xml:space="preserve">蒸汽眼罩等。</t>
      </text>
    </comment>
    <comment authorId="0" ref="E13">
      <text>
        <t xml:space="preserve">煮蛋计时器等；零钱包；天鹅小船。</t>
      </text>
    </comment>
    <comment authorId="0" ref="E14">
      <text>
        <t xml:space="preserve">耳朵诊疗费；药费。</t>
      </text>
    </comment>
    <comment authorId="0" ref="C15">
      <text>
        <t xml:space="preserve">现金交通费估算。</t>
      </text>
    </comment>
    <comment authorId="0" ref="B16">
      <text>
        <t xml:space="preserve">麻辣大学午餐。</t>
      </text>
    </comment>
    <comment authorId="0" ref="E16">
      <text>
        <t xml:space="preserve">的士去上野。</t>
      </text>
    </comment>
    <comment authorId="0" ref="B27">
      <text>
        <t xml:space="preserve">米；吃饭。</t>
      </text>
    </comment>
    <comment authorId="0" ref="C31">
      <text>
        <t xml:space="preserve">六月去东京车票；六月回京都车票。</t>
      </text>
    </comment>
    <comment authorId="0" ref="D31">
      <text>
        <t xml:space="preserve">文件夹。</t>
      </text>
    </comment>
    <comment authorId="0" ref="E31">
      <text>
        <t xml:space="preserve">房租；五月份电话费。</t>
      </text>
    </comment>
  </commentList>
</comments>
</file>

<file path=xl/comments23.xml><?xml version="1.0" encoding="utf-8"?>
<comments xmlns:r="http://schemas.openxmlformats.org/officeDocument/2006/relationships" xmlns="http://schemas.openxmlformats.org/spreadsheetml/2006/main">
  <authors>
    <author/>
  </authors>
  <commentList>
    <comment authorId="0" ref="E2">
      <text>
        <t xml:space="preserve">米诺地尔。</t>
      </text>
    </comment>
    <comment authorId="0" ref="E3">
      <text>
        <t xml:space="preserve">药店。</t>
      </text>
    </comment>
    <comment authorId="0" ref="D11">
      <text>
        <t xml:space="preserve">自行车手机架。</t>
      </text>
    </comment>
    <comment authorId="0" ref="E11">
      <text>
        <t xml:space="preserve">驱蚊水；其他。</t>
      </text>
    </comment>
    <comment authorId="0" ref="D20">
      <text>
        <t xml:space="preserve">袜子。</t>
      </text>
    </comment>
    <comment authorId="0" ref="E26">
      <text>
        <t xml:space="preserve">便签。</t>
      </text>
    </comment>
    <comment authorId="0" ref="E28">
      <text>
        <t xml:space="preserve">打印纸；兔子儿童节礼物；鞠咪生日礼物。</t>
      </text>
    </comment>
    <comment authorId="0" ref="D31">
      <text>
        <t xml:space="preserve">相框等。</t>
      </text>
    </comment>
    <comment authorId="0" ref="E32">
      <text>
        <t xml:space="preserve">房租；保险费；电话费。</t>
      </text>
    </comment>
  </commentList>
</comments>
</file>

<file path=xl/comments24.xml><?xml version="1.0" encoding="utf-8"?>
<comments xmlns:r="http://schemas.openxmlformats.org/officeDocument/2006/relationships" xmlns="http://schemas.openxmlformats.org/spreadsheetml/2006/main">
  <authors>
    <author/>
  </authors>
  <commentList>
    <comment authorId="0" ref="E2">
      <text>
        <t xml:space="preserve">组会咖啡年费。</t>
      </text>
    </comment>
    <comment authorId="0" ref="E5">
      <text>
        <t xml:space="preserve">醍醐寺和高台寺门票。</t>
      </text>
    </comment>
    <comment authorId="0" ref="E7">
      <text>
        <t xml:space="preserve">茶点。</t>
      </text>
    </comment>
    <comment authorId="0" ref="E10">
      <text>
        <t xml:space="preserve">赏花果汁和纸杯。</t>
      </text>
    </comment>
    <comment authorId="0" ref="D14">
      <text>
        <t xml:space="preserve">米箱。</t>
      </text>
    </comment>
    <comment authorId="0" ref="E14">
      <text>
        <t xml:space="preserve">赏花梅酒；靳书语和谭潇洋生日礼物。</t>
      </text>
    </comment>
    <comment authorId="0" ref="E15">
      <text>
        <t xml:space="preserve">基金实操课程；快活CLUB庆生。</t>
      </text>
    </comment>
    <comment authorId="0" ref="E16">
      <text>
        <t xml:space="preserve">外科诊所。</t>
      </text>
    </comment>
    <comment authorId="0" ref="E17">
      <text>
        <t xml:space="preserve">神经内科诊治。</t>
      </text>
    </comment>
    <comment authorId="0" ref="E19">
      <text>
        <t xml:space="preserve">课题组赏樱会。</t>
      </text>
    </comment>
    <comment authorId="0" ref="B20">
      <text>
        <t xml:space="preserve">午餐；请董昊辰和娜娜吃饭，因礼尚往来，记为饮食消费。</t>
      </text>
    </comment>
    <comment authorId="0" ref="D20">
      <text>
        <t xml:space="preserve">购买微软办公套餐；鼠标。</t>
      </text>
    </comment>
    <comment authorId="0" ref="E22">
      <text>
        <t xml:space="preserve">宇治团伙吃自助烤肉；龙角散。</t>
      </text>
    </comment>
    <comment authorId="0" ref="E24">
      <text>
        <t xml:space="preserve">花：药店。</t>
      </text>
    </comment>
    <comment authorId="0" ref="B26">
      <text>
        <t xml:space="preserve">课题组家里吃火锅；其他餐费。</t>
      </text>
    </comment>
    <comment authorId="0" ref="D28">
      <text>
        <t xml:space="preserve">蒜头研磨等。</t>
      </text>
    </comment>
    <comment authorId="0" ref="E29">
      <text>
        <t xml:space="preserve">取款手续费。</t>
      </text>
    </comment>
    <comment authorId="0" ref="C31">
      <text>
        <t xml:space="preserve">小兔子月底来京都车票。</t>
      </text>
    </comment>
    <comment authorId="0" ref="D31">
      <text>
        <t xml:space="preserve">兔子零钱包。</t>
      </text>
    </comment>
    <comment authorId="0" ref="E31">
      <text>
        <t xml:space="preserve">KANG 康杰锋:
房租；曹馨吃饭；京都特产小礼物；电话费。</t>
      </text>
    </comment>
  </commentList>
</comments>
</file>

<file path=xl/comments25.xml><?xml version="1.0" encoding="utf-8"?>
<comments xmlns:r="http://schemas.openxmlformats.org/officeDocument/2006/relationships" xmlns="http://schemas.openxmlformats.org/spreadsheetml/2006/main">
  <authors>
    <author/>
  </authors>
  <commentList>
    <comment authorId="0" ref="E7">
      <text>
        <t xml:space="preserve">KANG 康杰锋:
兔子的宝宝霜。</t>
      </text>
    </comment>
    <comment authorId="0" ref="E9">
      <text>
        <t xml:space="preserve">KANG 康杰锋:
孔雀石礼物；请董昊辰龚雨吃抹茶甜点；松本清防晒霜。</t>
      </text>
    </comment>
    <comment authorId="0" ref="E14">
      <text>
        <t xml:space="preserve">KANG 康杰锋:
东京沐浴露。</t>
      </text>
    </comment>
    <comment authorId="0" ref="E15">
      <text>
        <t xml:space="preserve">KANG 康杰锋:
橙子住民票打印。</t>
      </text>
    </comment>
    <comment authorId="0" ref="D18">
      <text>
        <t xml:space="preserve">KANG 康杰锋:
牙刷。</t>
      </text>
    </comment>
    <comment authorId="0" ref="D21">
      <text>
        <t xml:space="preserve">KANG 康杰锋:
Seria购置新家用。</t>
      </text>
    </comment>
    <comment authorId="0" ref="D22">
      <text>
        <t xml:space="preserve">KANG 康杰锋:
厨房拖鞋；浴室拖鞋。</t>
      </text>
    </comment>
    <comment authorId="0" ref="E22">
      <text>
        <t xml:space="preserve">KANG 康杰锋:
只园甜点。</t>
      </text>
    </comment>
    <comment authorId="0" ref="D25">
      <text>
        <t xml:space="preserve">KANG 康杰锋:
Nitori的炒锅和汤锅等。</t>
      </text>
    </comment>
    <comment authorId="0" ref="E25">
      <text>
        <t xml:space="preserve">KANG 康杰锋:
水族馆年卡。</t>
      </text>
    </comment>
    <comment authorId="0" ref="D26">
      <text>
        <t xml:space="preserve">KANG 康杰锋:
Seria购置新家用的厨具等。</t>
      </text>
    </comment>
    <comment authorId="0" ref="E26">
      <text>
        <t xml:space="preserve">KANG 康杰锋:
永旺零食。</t>
      </text>
    </comment>
    <comment authorId="0" ref="E27">
      <text>
        <t xml:space="preserve">KANG 康杰锋:
和服租赁。</t>
      </text>
    </comment>
    <comment authorId="0" ref="E28">
      <text>
        <t xml:space="preserve">KANG 康杰锋:
马梓淇饯别。</t>
      </text>
    </comment>
    <comment authorId="0" ref="B29">
      <text>
        <t xml:space="preserve">KANG 康杰锋:
午餐；张平星师姐咖啡。</t>
      </text>
    </comment>
    <comment authorId="0" ref="C32">
      <text>
        <t xml:space="preserve">KANG 康杰锋:
三月12日临时前往东京的新干线；和兔子一起回来京都的汽车票；小兔子回东京的汽车票；不明。</t>
      </text>
    </comment>
    <comment authorId="0" ref="E32">
      <text>
        <t xml:space="preserve">新家房租；宿舍最后一个月房租；网飞会员；电话费；岚山小火车。</t>
      </text>
    </comment>
  </commentList>
</comments>
</file>

<file path=xl/comments26.xml><?xml version="1.0" encoding="utf-8"?>
<comments xmlns:r="http://schemas.openxmlformats.org/officeDocument/2006/relationships" xmlns="http://schemas.openxmlformats.org/spreadsheetml/2006/main">
  <authors>
    <author/>
  </authors>
  <commentList>
    <comment authorId="0" ref="E2">
      <text>
        <t xml:space="preserve">KANG 康杰锋:
摩天轮。</t>
      </text>
    </comment>
    <comment authorId="0" ref="D3">
      <text>
        <t xml:space="preserve">KANG 康杰锋:
杯子等。</t>
      </text>
    </comment>
    <comment authorId="0" ref="E3">
      <text>
        <t xml:space="preserve">KANG 康杰锋:
防晒霜。</t>
      </text>
    </comment>
    <comment authorId="0" ref="B5">
      <text>
        <t xml:space="preserve">KANG 康杰锋:
午餐；年夜饭食材；食材。</t>
      </text>
    </comment>
    <comment authorId="0" ref="E5">
      <text>
        <t xml:space="preserve">KANG 康杰锋:
厨房消耗品等。</t>
      </text>
    </comment>
    <comment authorId="0" ref="C22">
      <text>
        <t xml:space="preserve">KANG 康杰锋:
月票。</t>
      </text>
    </comment>
    <comment authorId="0" ref="E22">
      <text>
        <t xml:space="preserve">KANG 康杰锋:
蒼鴉城杂志。</t>
      </text>
    </comment>
    <comment authorId="0" ref="D23">
      <text>
        <t xml:space="preserve">KANG 康杰锋:
和橙子的杯子碟子。</t>
      </text>
    </comment>
    <comment authorId="0" ref="C29">
      <text>
        <t xml:space="preserve">KANG 康杰锋:
东京-京都车票。</t>
      </text>
    </comment>
    <comment authorId="0" ref="E29">
      <text>
        <t xml:space="preserve">KANG 康杰锋:
房租；电话费。</t>
      </text>
    </comment>
  </commentList>
</comments>
</file>

<file path=xl/comments27.xml><?xml version="1.0" encoding="utf-8"?>
<comments xmlns:r="http://schemas.openxmlformats.org/officeDocument/2006/relationships" xmlns="http://schemas.openxmlformats.org/spreadsheetml/2006/main">
  <authors>
    <author/>
  </authors>
  <commentList>
    <comment authorId="0" ref="B2">
      <text>
        <t xml:space="preserve">KANG 康杰锋:
好吃的甜点及其他。</t>
      </text>
    </comment>
    <comment authorId="0" ref="D2">
      <text>
        <t xml:space="preserve">KANG 康杰锋:
皮鞋；优衣库；毛线帽。</t>
      </text>
    </comment>
    <comment authorId="0" ref="B4">
      <text>
        <t xml:space="preserve">KANG 康杰锋:
各种零散食材食物消费；中华物产店附近街道披萨店。</t>
      </text>
    </comment>
    <comment authorId="0" ref="E6">
      <text>
        <t xml:space="preserve">KANG 康杰锋:
麻辣大学。</t>
      </text>
    </comment>
    <comment authorId="0" ref="E12">
      <text>
        <t xml:space="preserve">KANG 康杰锋:
坚果。</t>
      </text>
    </comment>
    <comment authorId="0" ref="E14">
      <text>
        <t xml:space="preserve">KANG 康杰锋:
头皮护理。</t>
      </text>
    </comment>
    <comment authorId="0" ref="D16">
      <text>
        <t xml:space="preserve">KANG 康杰锋:
亚马逊电子书。</t>
      </text>
    </comment>
    <comment authorId="0" ref="D17">
      <text>
        <t xml:space="preserve">KANG 康杰锋:
亚马逊电子书。</t>
      </text>
    </comment>
    <comment authorId="0" ref="D19">
      <text>
        <t xml:space="preserve">KANG 康杰锋:
烤箱。</t>
      </text>
    </comment>
    <comment authorId="0" ref="E19">
      <text>
        <t xml:space="preserve">KANG 康杰锋:
梦婷来京吃烤肉。</t>
      </text>
    </comment>
    <comment authorId="0" ref="D20">
      <text>
        <t xml:space="preserve">KANG 康杰锋:
雨伞和宇治理发。</t>
      </text>
    </comment>
    <comment authorId="0" ref="E20">
      <text>
        <t xml:space="preserve">KANG 康杰锋:
邮票。</t>
      </text>
    </comment>
    <comment authorId="0" ref="B21">
      <text>
        <t xml:space="preserve">KANG 康杰锋:
龚雨董昊辰聚餐。</t>
      </text>
    </comment>
    <comment authorId="0" ref="D22">
      <text>
        <t xml:space="preserve">KANG 康杰锋:
指甲剪。</t>
      </text>
    </comment>
    <comment authorId="0" ref="D23">
      <text>
        <t xml:space="preserve">KANG 康杰锋:
亚马逊电子书。</t>
      </text>
    </comment>
    <comment authorId="0" ref="E26">
      <text>
        <t xml:space="preserve">KANG 康杰锋:
药店；草间弥生美术馆门票。</t>
      </text>
    </comment>
    <comment authorId="0" ref="B29">
      <text>
        <t xml:space="preserve">KANG 康杰锋:
百万遍西餐。</t>
      </text>
    </comment>
    <comment authorId="0" ref="E29">
      <text>
        <t xml:space="preserve">KANG 康杰锋:
到东京伴手礼。</t>
      </text>
    </comment>
    <comment authorId="0" ref="B32">
      <text>
        <t xml:space="preserve">KANG 康杰锋:
食堂午饭；中国物产店食材囤货等。</t>
      </text>
    </comment>
    <comment authorId="0" ref="C32">
      <text>
        <t xml:space="preserve">KANG 康杰锋:
东京京都巴士；京都东京巴士。</t>
      </text>
    </comment>
    <comment authorId="0" ref="E32">
      <text>
        <t xml:space="preserve">KANG 康杰锋:
浅草桥住宿；房租；东京国立博物馆；电话费。</t>
      </text>
    </comment>
  </commentList>
</comments>
</file>

<file path=xl/comments28.xml><?xml version="1.0" encoding="utf-8"?>
<comments xmlns:r="http://schemas.openxmlformats.org/officeDocument/2006/relationships" xmlns="http://schemas.openxmlformats.org/spreadsheetml/2006/main">
  <authors>
    <author/>
  </authors>
  <commentList>
    <comment authorId="0" ref="D2">
      <text>
        <t xml:space="preserve">KANG 康杰锋:
打气筒。</t>
      </text>
    </comment>
    <comment authorId="0" ref="E2">
      <text>
        <t xml:space="preserve">KANG 康杰锋:
修车补胎。</t>
      </text>
    </comment>
    <comment authorId="0" ref="D4">
      <text>
        <t xml:space="preserve">KANG 康杰锋:
暖脚器。</t>
      </text>
    </comment>
    <comment authorId="0" ref="E6">
      <text>
        <t xml:space="preserve">KANG 康杰锋:
神奇动物电影。</t>
      </text>
    </comment>
    <comment authorId="0" ref="E8">
      <text>
        <t xml:space="preserve">KANG 康杰锋:
头皮护理；令杰生日礼物。</t>
      </text>
    </comment>
    <comment authorId="0" ref="E9">
      <text>
        <t xml:space="preserve">KANG 康杰锋:
NONEBUTAIR FUKUOKA。</t>
      </text>
    </comment>
    <comment authorId="0" ref="E10">
      <text>
        <t xml:space="preserve">KANG 康杰锋:
给橙子的礼物；谷歌购物。</t>
      </text>
    </comment>
    <comment authorId="0" ref="D12">
      <text>
        <t xml:space="preserve">KANG 康杰锋:
剪刀及厨具等。</t>
      </text>
    </comment>
    <comment authorId="0" ref="D13">
      <text>
        <t xml:space="preserve">KANG 康杰锋:
沙发。</t>
      </text>
    </comment>
    <comment authorId="0" ref="E13">
      <text>
        <t xml:space="preserve">KANG 康杰锋:
橙子画材店水彩颜料笔。</t>
      </text>
    </comment>
    <comment authorId="0" ref="D14">
      <text>
        <t xml:space="preserve">KANG 康杰锋:
厨房纸和水果刀。</t>
      </text>
    </comment>
    <comment authorId="0" ref="E14">
      <text>
        <t xml:space="preserve">KANG 康杰锋:
杜毅娜生日礼物之一。</t>
      </text>
    </comment>
    <comment authorId="0" ref="D17">
      <text>
        <t xml:space="preserve">KANG 康杰锋:
亚马逊图书。</t>
      </text>
    </comment>
    <comment authorId="0" ref="D20">
      <text>
        <t xml:space="preserve">KANG 康杰锋:
杯子。</t>
      </text>
    </comment>
    <comment authorId="0" ref="B21">
      <text>
        <t xml:space="preserve">KANG 康杰锋:
午餐；下午加餐；回转寿司晚餐。</t>
      </text>
    </comment>
    <comment authorId="0" ref="D22">
      <text>
        <t xml:space="preserve">KANG 康杰锋:
圣诞树。</t>
      </text>
    </comment>
    <comment authorId="0" ref="C23">
      <text>
        <t xml:space="preserve">KANG 康杰锋:
一日券；宇治打车回御陵；充值。</t>
      </text>
    </comment>
    <comment authorId="0" ref="D24">
      <text>
        <t xml:space="preserve">KANG 康杰锋:
亚马逊图书。</t>
      </text>
    </comment>
    <comment authorId="0" ref="E26">
      <text>
        <t xml:space="preserve">KANG 康杰锋:
邮寄到东京；百元店。</t>
      </text>
    </comment>
    <comment authorId="0" ref="E27">
      <text>
        <t xml:space="preserve">KANG 康杰锋:
温泉；头皮护理。</t>
      </text>
    </comment>
    <comment authorId="0" ref="E30">
      <text>
        <t xml:space="preserve">KANG 康杰锋:
旅途路上数据线。</t>
      </text>
    </comment>
    <comment authorId="0" ref="C32">
      <text>
        <t xml:space="preserve">KANG 康杰锋:
前往东京交通费；其他交通费。</t>
      </text>
    </comment>
    <comment authorId="0" ref="E32">
      <text>
        <t xml:space="preserve">KANG 康杰锋:
王宏住宿；名古屋及静冈住宿；十二月保险金；一月保险金；二月保险金；电话费；房租。</t>
      </text>
    </comment>
  </commentList>
</comments>
</file>

<file path=xl/comments29.xml><?xml version="1.0" encoding="utf-8"?>
<comments xmlns:r="http://schemas.openxmlformats.org/officeDocument/2006/relationships" xmlns="http://schemas.openxmlformats.org/spreadsheetml/2006/main">
  <authors>
    <author/>
  </authors>
  <commentList>
    <comment authorId="0" ref="D2">
      <text>
        <t xml:space="preserve">KANG 康杰锋:
优衣库手套。</t>
      </text>
    </comment>
    <comment authorId="0" ref="B3">
      <text>
        <t xml:space="preserve">KANG 康杰锋:
早餐；请桂同学吃饭。</t>
      </text>
    </comment>
    <comment authorId="0" ref="B4">
      <text>
        <t xml:space="preserve">KANG 康杰锋:
早餐咖啡肉包及午餐的三明治；鸡蛋及香蕉等。</t>
      </text>
    </comment>
    <comment authorId="0" ref="E4">
      <text>
        <t xml:space="preserve">KANG 康杰锋:
采集标本用文件夹及信封等；天妇罗纸。</t>
      </text>
    </comment>
    <comment authorId="0" ref="D5">
      <text>
        <t xml:space="preserve">KANG 康杰锋:
优衣库毛衣。</t>
      </text>
    </comment>
    <comment authorId="0" ref="E5">
      <text>
        <t xml:space="preserve">KANG 康杰锋:
彩色铅笔。</t>
      </text>
    </comment>
    <comment authorId="0" ref="B6">
      <text>
        <t xml:space="preserve">KANG 康杰锋:
豆芽/三文鱼/鸡胸肉/豆腐及日本酒等。</t>
      </text>
    </comment>
    <comment authorId="0" ref="E6">
      <text>
        <t xml:space="preserve">KANG 康杰锋:
百元店；牙膏。</t>
      </text>
    </comment>
    <comment authorId="0" ref="B8">
      <text>
        <t xml:space="preserve">KANG 康杰锋:
早餐；午餐；冬至宇治聚餐。</t>
      </text>
    </comment>
    <comment authorId="0" ref="D9">
      <text>
        <t xml:space="preserve">KANG 康杰锋:
平底锅。</t>
      </text>
    </comment>
    <comment authorId="0" ref="E9">
      <text>
        <t xml:space="preserve">KANG 康杰锋:
文具及石板等；豆苗盆栽。</t>
      </text>
    </comment>
    <comment authorId="0" ref="B10">
      <text>
        <t xml:space="preserve">KANG 康杰锋:
早餐；午餐；晚餐聚餐东南亚菜。</t>
      </text>
    </comment>
    <comment authorId="0" ref="B11">
      <text>
        <t xml:space="preserve">KANG 康杰锋:
早餐；高雄红叶午餐；晚餐；柿子。</t>
      </text>
    </comment>
    <comment authorId="0" ref="C11">
      <text>
        <t xml:space="preserve">KANG 康杰锋:
高雄红叶交通一日券。</t>
      </text>
    </comment>
    <comment authorId="0" ref="D14">
      <text>
        <t xml:space="preserve">KANG 康杰锋:
园艺网及麻绳等。</t>
      </text>
    </comment>
    <comment authorId="0" ref="D15">
      <text>
        <t xml:space="preserve">KANG 康杰锋:
数据线等。</t>
      </text>
    </comment>
    <comment authorId="0" ref="E15">
      <text>
        <t xml:space="preserve">KANG 康杰锋:
给橙子的礼物杯子。</t>
      </text>
    </comment>
    <comment authorId="0" ref="E20">
      <text>
        <t xml:space="preserve">KANG 康杰锋:
润肤乳洗发水沐浴露等。</t>
      </text>
    </comment>
    <comment authorId="0" ref="B21">
      <text>
        <t xml:space="preserve">KANG 康杰锋:
食材。</t>
      </text>
    </comment>
    <comment authorId="0" ref="B22">
      <text>
        <t xml:space="preserve">KANG 康杰锋:
午餐；食材。</t>
      </text>
    </comment>
    <comment authorId="0" ref="D22">
      <text>
        <t xml:space="preserve">KANG 康杰锋:
加湿器及挥发油。</t>
      </text>
    </comment>
    <comment authorId="0" ref="E22">
      <text>
        <t xml:space="preserve">KANG 康杰锋:
邮票。</t>
      </text>
    </comment>
    <comment authorId="0" ref="B23">
      <text>
        <t xml:space="preserve">KANG 康杰锋:
早餐；午餐；晚餐；日本酒等。</t>
      </text>
    </comment>
    <comment authorId="0" ref="D23">
      <text>
        <t xml:space="preserve">KANG 康杰锋:
D2的月季花。</t>
      </text>
    </comment>
    <comment authorId="0" ref="E23">
      <text>
        <t xml:space="preserve">KANG 康杰锋:
停车费；WATT百元店；植物营养液。</t>
      </text>
    </comment>
    <comment authorId="0" ref="D25">
      <text>
        <t xml:space="preserve">KANG 康杰锋:
毛巾牙刷等。</t>
      </text>
    </comment>
    <comment authorId="0" ref="B26">
      <text>
        <t xml:space="preserve">KANG 康杰锋:
早餐；午餐；晚餐；零食。</t>
      </text>
    </comment>
    <comment authorId="0" ref="D26">
      <text>
        <t xml:space="preserve">KANG 康杰锋:
速写本。</t>
      </text>
    </comment>
    <comment authorId="0" ref="E26">
      <text>
        <t xml:space="preserve">KANG 康杰锋:
给司机的礼物里程计；电影票神奇动物日语版。</t>
      </text>
    </comment>
    <comment authorId="0" ref="D27">
      <text>
        <t xml:space="preserve">KANG 康杰锋:
锅盖；乐天图书《灵山》。</t>
      </text>
    </comment>
    <comment authorId="0" ref="E27">
      <text>
        <t xml:space="preserve">KANG 康杰锋:
纸巾。</t>
      </text>
    </comment>
    <comment authorId="0" ref="D28">
      <text>
        <t xml:space="preserve">KANG 康杰锋:
亚马逊图书。</t>
      </text>
    </comment>
    <comment authorId="0" ref="E29">
      <text>
        <t xml:space="preserve">KANG 康杰锋:
百元店；野菊果子作为礼物。</t>
      </text>
    </comment>
    <comment authorId="0" ref="E31">
      <text>
        <t xml:space="preserve">KANG 康杰锋:
十月保险金；十一月保险金；房租；话费。</t>
      </text>
    </comment>
  </commentList>
</comments>
</file>

<file path=xl/comments30.xml><?xml version="1.0" encoding="utf-8"?>
<comments xmlns:r="http://schemas.openxmlformats.org/officeDocument/2006/relationships" xmlns="http://schemas.openxmlformats.org/spreadsheetml/2006/main">
  <authors>
    <author/>
  </authors>
  <commentList>
    <comment authorId="0" ref="D2">
      <text>
        <t xml:space="preserve">KANG 康杰锋:
亚马逊；西友超市。</t>
      </text>
    </comment>
    <comment authorId="0" ref="D3">
      <text>
        <t xml:space="preserve">KANG 康杰锋:
自行车；未知。</t>
      </text>
    </comment>
    <comment authorId="0" ref="B6">
      <text>
        <t xml:space="preserve">KANG 康杰锋:
早餐；午餐；晚餐京都站下四川餐馆。</t>
      </text>
    </comment>
    <comment authorId="0" ref="B7">
      <text>
        <t xml:space="preserve">KANG 康杰锋:
午餐；晚餐白灼虾。</t>
      </text>
    </comment>
    <comment authorId="0" ref="D7">
      <text>
        <t xml:space="preserve">KANG 康杰锋:
锅和衣架；盐，油，汤碗等。</t>
      </text>
    </comment>
    <comment authorId="0" ref="E12">
      <text>
        <t xml:space="preserve">KANG 康杰锋:
哈利波特二手书。</t>
      </text>
    </comment>
    <comment authorId="0" ref="D14">
      <text>
        <t xml:space="preserve">KANG 康杰锋:
亚马逊购物。</t>
      </text>
    </comment>
    <comment authorId="0" ref="E14">
      <text>
        <t xml:space="preserve">KANG 康杰锋:
毛巾。</t>
      </text>
    </comment>
    <comment authorId="0" ref="C20">
      <text>
        <t xml:space="preserve">KANG 康杰锋:
交通卡充值。</t>
      </text>
    </comment>
    <comment authorId="0" ref="E20">
      <text>
        <t xml:space="preserve">KANG 康杰锋:
吃火锅见面礼，野菊的果子。</t>
      </text>
    </comment>
    <comment authorId="0" ref="B21">
      <text>
        <t xml:space="preserve">KANG 康杰锋:
晚餐甜虾。</t>
      </text>
    </comment>
    <comment authorId="0" ref="D21">
      <text>
        <t xml:space="preserve">KANG 康杰锋:
睡衣；枕头，扫把，衣架等。</t>
      </text>
    </comment>
    <comment authorId="0" ref="E21">
      <text>
        <t xml:space="preserve">KANG 康杰锋:
蕨盆栽；百元店。</t>
      </text>
    </comment>
    <comment authorId="0" ref="B22">
      <text>
        <t xml:space="preserve">KANG 康杰锋:
宇治抹茶；晚餐。</t>
      </text>
    </comment>
    <comment authorId="0" ref="B23">
      <text>
        <t xml:space="preserve">KANG 康杰锋:
牛奶；早餐；午餐；晚餐。</t>
      </text>
    </comment>
    <comment authorId="0" ref="B24">
      <text>
        <t xml:space="preserve">KANG 康杰锋:
午餐；超市牛排。</t>
      </text>
    </comment>
    <comment authorId="0" ref="D26">
      <text>
        <t xml:space="preserve">KANG 康杰锋:
电饭煲。</t>
      </text>
    </comment>
    <comment authorId="0" ref="E27">
      <text>
        <t xml:space="preserve">KANG 康杰锋:
历彩馆复印；日语课前铅笔和转笔刀。</t>
      </text>
    </comment>
    <comment authorId="0" ref="C28">
      <text>
        <t xml:space="preserve">KANG 康杰锋:
巴士一日券。</t>
      </text>
    </comment>
    <comment authorId="0" ref="E28">
      <text>
        <t xml:space="preserve">KANG 康杰锋:
二条城门票。</t>
      </text>
    </comment>
    <comment authorId="0" ref="B29">
      <text>
        <t xml:space="preserve">KANG 康杰锋:
早餐；中餐；晚餐；购买大米及鸡腿等。</t>
      </text>
    </comment>
    <comment authorId="0" ref="D29">
      <text>
        <t xml:space="preserve">KANG 康杰锋:
体重秤和米箱。</t>
      </text>
    </comment>
    <comment authorId="0" ref="B30">
      <text>
        <t xml:space="preserve">KANG 康杰锋:
早餐；午餐；晚餐；白糖等。</t>
      </text>
    </comment>
    <comment authorId="0" ref="D30">
      <text>
        <t xml:space="preserve">KANG 康杰锋:
百万遍百元店家用购买；亚马逊电子书。</t>
      </text>
    </comment>
    <comment authorId="0" ref="E30">
      <text>
        <t xml:space="preserve">KANG 康杰锋:
毛巾等。</t>
      </text>
    </comment>
    <comment authorId="0" ref="B31">
      <text>
        <t xml:space="preserve">KANG 康杰锋:
早餐；午餐；晚餐；河原町食材购买。</t>
      </text>
    </comment>
    <comment authorId="0" ref="D31">
      <text>
        <t xml:space="preserve">KANG 康杰锋:
百万遍百元店家用购买。</t>
      </text>
    </comment>
    <comment authorId="0" ref="C32">
      <text>
        <t xml:space="preserve">KANG 康杰锋:
巴士一日券。</t>
      </text>
    </comment>
    <comment authorId="0" ref="D32">
      <text>
        <t xml:space="preserve">KANG 康杰锋:
棉拖鞋。</t>
      </text>
    </comment>
    <comment authorId="0" ref="E32">
      <text>
        <t xml:space="preserve">KANG 康杰锋:
文具；房租；房租转账手续费；神之电话费。</t>
      </text>
    </comment>
  </commentList>
</comments>
</file>

<file path=xl/comments31.xml><?xml version="1.0" encoding="utf-8"?>
<comments xmlns:r="http://schemas.openxmlformats.org/officeDocument/2006/relationships" xmlns="http://schemas.openxmlformats.org/spreadsheetml/2006/main">
  <authors>
    <author/>
  </authors>
  <commentList>
    <comment authorId="0" ref="D3">
      <text>
        <t xml:space="preserve">KANG 康杰锋:
ニトリ毛巾。</t>
      </text>
    </comment>
    <comment authorId="0" ref="E3">
      <text>
        <t xml:space="preserve">KANG 康杰锋:
办住民票。</t>
      </text>
    </comment>
    <comment authorId="0" ref="D4">
      <text>
        <t xml:space="preserve">KANG 康杰锋:
插头；百元店小物。</t>
      </text>
    </comment>
    <comment authorId="0" ref="E5">
      <text>
        <t xml:space="preserve">KANG 康杰锋:
电话费；生协入会费；学生赔偿责任险。</t>
      </text>
    </comment>
  </commentList>
</comments>
</file>

<file path=xl/sharedStrings.xml><?xml version="1.0" encoding="utf-8"?>
<sst xmlns="http://schemas.openxmlformats.org/spreadsheetml/2006/main" count="2092" uniqueCount="413">
  <si>
    <t>小兔子</t>
  </si>
  <si>
    <t>爸</t>
  </si>
  <si>
    <t>妈</t>
  </si>
  <si>
    <t>燕锋</t>
  </si>
  <si>
    <t>肖黎姗</t>
  </si>
  <si>
    <t>资产</t>
  </si>
  <si>
    <t>消费</t>
  </si>
  <si>
    <t>负债</t>
  </si>
  <si>
    <t>收入</t>
  </si>
  <si>
    <t>净资产</t>
  </si>
  <si>
    <t>总计</t>
  </si>
  <si>
    <t>邮政银行</t>
  </si>
  <si>
    <t>现金</t>
  </si>
  <si>
    <t>Paypay</t>
  </si>
  <si>
    <t>学生卡</t>
  </si>
  <si>
    <t>PayPal</t>
  </si>
  <si>
    <t>移动日本</t>
  </si>
  <si>
    <t>建行</t>
  </si>
  <si>
    <t>支付宝</t>
  </si>
  <si>
    <t>基金</t>
  </si>
  <si>
    <t>微信</t>
  </si>
  <si>
    <t>月总计</t>
  </si>
  <si>
    <t>月饮食</t>
  </si>
  <si>
    <t>月交通</t>
  </si>
  <si>
    <t>固资</t>
  </si>
  <si>
    <t>月其他</t>
  </si>
  <si>
    <t>招行信用</t>
  </si>
  <si>
    <t>花呗</t>
  </si>
  <si>
    <t>三井信用</t>
  </si>
  <si>
    <t>奖学金</t>
  </si>
  <si>
    <t>-</t>
  </si>
  <si>
    <t>小饮食</t>
  </si>
  <si>
    <t>小交通</t>
  </si>
  <si>
    <t>小固资</t>
  </si>
  <si>
    <t>小其他</t>
  </si>
  <si>
    <t>小总计</t>
  </si>
  <si>
    <t>大饮食</t>
  </si>
  <si>
    <t>大交通</t>
  </si>
  <si>
    <t>大固资</t>
  </si>
  <si>
    <t>大其他</t>
  </si>
  <si>
    <t>大总计</t>
  </si>
  <si>
    <t>1月</t>
  </si>
  <si>
    <t>临时支出总计</t>
  </si>
  <si>
    <t>自己的开支</t>
  </si>
  <si>
    <t>代对方支付</t>
  </si>
  <si>
    <t>应收账款</t>
  </si>
  <si>
    <t>个人开支总计</t>
  </si>
  <si>
    <t>2月</t>
  </si>
  <si>
    <t>3月</t>
  </si>
  <si>
    <t>4月</t>
  </si>
  <si>
    <t>5月</t>
  </si>
  <si>
    <t>6月</t>
  </si>
  <si>
    <t>7月</t>
  </si>
  <si>
    <t>8月</t>
  </si>
  <si>
    <t>9月</t>
  </si>
  <si>
    <t>10月</t>
  </si>
  <si>
    <t>11月</t>
  </si>
  <si>
    <t>12月</t>
  </si>
  <si>
    <t>行为备注</t>
  </si>
  <si>
    <t>平衡</t>
  </si>
  <si>
    <t>电话费</t>
  </si>
  <si>
    <t>微信等</t>
  </si>
  <si>
    <t>对象</t>
  </si>
  <si>
    <t>饮食</t>
  </si>
  <si>
    <t>交通</t>
  </si>
  <si>
    <t>固定资产</t>
  </si>
  <si>
    <t>其他消费</t>
  </si>
  <si>
    <t>辅助</t>
  </si>
  <si>
    <t>招行</t>
  </si>
  <si>
    <t>借还</t>
  </si>
  <si>
    <t>其他收入</t>
  </si>
  <si>
    <t>コレモ出町柳店</t>
  </si>
  <si>
    <t>共同</t>
  </si>
  <si>
    <t>セブン－イレブン・ジャパン</t>
  </si>
  <si>
    <t>ライフ川端東一条店</t>
  </si>
  <si>
    <t>ファミリーマート</t>
  </si>
  <si>
    <t>マクドナルド</t>
  </si>
  <si>
    <t>Ａｍａｚｏｎプライム会費</t>
  </si>
  <si>
    <t>ＬＯＯＫＦＡＮＴＡＳＴＩＣ</t>
  </si>
  <si>
    <t>小兔</t>
  </si>
  <si>
    <t>ユニクロ</t>
  </si>
  <si>
    <t>大兔</t>
  </si>
  <si>
    <t>メルカリ望远镜</t>
  </si>
  <si>
    <t>メルカリ法语书</t>
  </si>
  <si>
    <t>ＭＩＣＲＯＳＯＦＴ＊ＯＮＥＤＲＩＶＥ Ｓ</t>
  </si>
  <si>
    <t>ウイラ―预定北海道旅行车票</t>
  </si>
  <si>
    <t>ＡＮＡインターネットチケットレスサービス北海道机票</t>
  </si>
  <si>
    <t>デジャヴュ ラスティンファインa クリームペンシル ダークブラウン アイライナー 1本 (x 1)眉笔</t>
  </si>
  <si>
    <t>【Amazon.co.jp 限定】アルコールスプレー カビキラー 除菌剤 日本製 詰め替え用 350ml×4個セット お掃除用手袋つき アルコール除菌スプレー キッチン用 まとめ買い エタノール 消毒液</t>
  </si>
  <si>
    <t>【精米】 鳥取県産 白米 コシヒカリ 5kg</t>
  </si>
  <si>
    <t>アベンヌ スキンバランスクリーム SS 50ml [並行輸入品]</t>
  </si>
  <si>
    <t>[Paula's Choice] レジスト・スーパーライト日焼け止めSPF30 60ml / Resist Super-Light Daily Wrinkle Defense SPF 30 60ml [並行輸入品]</t>
  </si>
  <si>
    <t>Homesuit LP-E17 LP E17 バッテリー 互換 2個 +LCD LP-E17 相机充电器</t>
  </si>
  <si>
    <t>蚂蚁财富-天弘中证食品饮料指数C-买入</t>
  </si>
  <si>
    <t>余额宝收益</t>
  </si>
  <si>
    <t>京都中華物産</t>
  </si>
  <si>
    <t>佳能EF-M微单相机镜头保护套M5M6镜头袋 镜头筒M50便携收纳袋软套</t>
  </si>
  <si>
    <t>UQJBBW-13719352乐淘航空北海道返程票</t>
  </si>
  <si>
    <t>食物</t>
  </si>
  <si>
    <t>百元店</t>
  </si>
  <si>
    <t>药妆店</t>
  </si>
  <si>
    <t>煤气租用</t>
  </si>
  <si>
    <t>邮政</t>
  </si>
  <si>
    <t>取钱</t>
  </si>
  <si>
    <t>碳峰值项目收入</t>
  </si>
  <si>
    <t>学生卡充值</t>
  </si>
  <si>
    <t>食堂</t>
  </si>
  <si>
    <t>给小兔校园卡充钱-基于算法无法平衡为0</t>
  </si>
  <si>
    <t>手作市面包</t>
  </si>
  <si>
    <t>手作市银饰烧肉和向东礼物</t>
  </si>
  <si>
    <t>给张亮的挂饰</t>
  </si>
  <si>
    <t>耳环</t>
  </si>
  <si>
    <t>卖出二手_x0008_暖气</t>
  </si>
  <si>
    <t>组会咖啡费用</t>
  </si>
  <si>
    <t>宇治打羽毛球</t>
  </si>
  <si>
    <t>宇治羽毛球之前吃饭</t>
  </si>
  <si>
    <t>学校边吃了两次拉面</t>
  </si>
  <si>
    <t>面包店</t>
  </si>
  <si>
    <t>靠垫</t>
  </si>
  <si>
    <t>自动还款-花呗2021年09月账单</t>
  </si>
  <si>
    <t>花园</t>
  </si>
  <si>
    <t>其他</t>
  </si>
  <si>
    <t>还信用卡</t>
  </si>
  <si>
    <t>フレスコ岡崎店</t>
  </si>
  <si>
    <t>葵匠</t>
  </si>
  <si>
    <t>マイクロソフト</t>
  </si>
  <si>
    <t>ユニクロ ジーユー オンライン</t>
  </si>
  <si>
    <t>ＤｉＤｉ Ｆｏｏｄ</t>
  </si>
  <si>
    <t>ウーバーイーツジヤパンゴウドウ</t>
  </si>
  <si>
    <t>洛北阪急スクエア</t>
  </si>
  <si>
    <t>ｈｉｔｍａｒｋｅｔ相机</t>
  </si>
  <si>
    <t>ＩＨＥＲＢ ＩＨＥＲＢ．ＣＯＭ</t>
  </si>
  <si>
    <t>【ノーブランド品】 10個セット TRPGゲーム アクリル おもちゃ 六面ダイス D6 ダイス サイコロ 全10色 - 赤</t>
  </si>
  <si>
    <t>父が子に語る日本史 (ちくま文庫)</t>
  </si>
  <si>
    <t>父が子に語る近現代史 (ちくま文庫)</t>
  </si>
  <si>
    <t>DCMJMA2983 ドクターガード リラックス50枚入</t>
  </si>
  <si>
    <t>亚马逊？</t>
  </si>
  <si>
    <t>【Amazon.co.jp限定】 【セット買い】 ケロッグ オートミール 330gx3個</t>
  </si>
  <si>
    <t>Overmont DS-101 アルミ クッカーセット アウトドア鍋 キャンピング 調理器具 食器 2点セット 収納袋付き</t>
  </si>
  <si>
    <t>洗发液</t>
  </si>
  <si>
    <t>HAKUBA 一眼カメラケース ルフトデザイン スリムフィット カメラジャケット M-110 ブラック DCS-03M110BK</t>
  </si>
  <si>
    <t>シュウウエムラ ハード フォーミュラ ハード9 シール ブラウン 02(アイブロウ ペンシル)</t>
  </si>
  <si>
    <t>キングストン SDXCカード128GB 最大100MB/s Class10 UHS-I U3 V30 Canvas Select Plus SDS2/128GB</t>
  </si>
  <si>
    <t>キュレル 泡洗顔料 つめかえ用 130ml×3個</t>
  </si>
  <si>
    <t>【精米】 滋賀県 無洗米 (県推奨品種) みずかがみ 5kg 特A</t>
  </si>
  <si>
    <t>エバークック 炒め鍋 28cm ガス火専用 軽量 720ｇ オレンジ 1年保証 ドウシシャ</t>
  </si>
  <si>
    <t>【第1類医薬品】リアップX5プラスネオ(通販限定パッケージ) 60mL</t>
  </si>
  <si>
    <t>山元</t>
  </si>
  <si>
    <t>中华物产店</t>
  </si>
  <si>
    <t>建行利息</t>
  </si>
  <si>
    <t>上海师范讲课费用</t>
  </si>
  <si>
    <t>京都保险费</t>
  </si>
  <si>
    <t>鹏哥那边拿来的硬币</t>
  </si>
  <si>
    <t>8/27/2021</t>
  </si>
  <si>
    <t>8/26/2021</t>
  </si>
  <si>
    <t>8/25/2021</t>
  </si>
  <si>
    <t>8/22/2021</t>
  </si>
  <si>
    <t>ＵＢＥＲ ＊ＥＡＴＳ ＨＥＬＰ．ＵＢＥＲ</t>
  </si>
  <si>
    <t>8/17/2021</t>
  </si>
  <si>
    <t>8/16/2021</t>
  </si>
  <si>
    <t>ライフ北白川店</t>
  </si>
  <si>
    <t>8/28/2021</t>
  </si>
  <si>
    <t>メルカリ</t>
  </si>
  <si>
    <t>美术馆扇子</t>
  </si>
  <si>
    <t>8/23/2021</t>
  </si>
  <si>
    <t>8/15/2021</t>
  </si>
  <si>
    <t>石橋工業 九州産もち麦 800g</t>
  </si>
  <si>
    <t>8/24/2021</t>
  </si>
  <si>
    <t>肌ラボ 極潤プレミアム ヒアルロン液 化粧水 170ミリリットル (x 1)</t>
  </si>
  <si>
    <t>もち麦 国産 ダイシモチ 900g 紫もち麦 雑穀 チャック付</t>
  </si>
  <si>
    <t>厳選国産 十雑穀米 500g</t>
  </si>
  <si>
    <t>8/20/2021</t>
  </si>
  <si>
    <t>【精米】 無洗米 秋田県産 あきたこまち 5kg 令和2年産</t>
  </si>
  <si>
    <t>自动还款-花呗2021年08月账单</t>
  </si>
  <si>
    <t>百万遍中華物産</t>
  </si>
  <si>
    <t>商店街食物</t>
  </si>
  <si>
    <t>保险</t>
  </si>
  <si>
    <t>Grammarly退款</t>
  </si>
  <si>
    <t>移动话费</t>
  </si>
  <si>
    <t>碳峰值工资</t>
  </si>
  <si>
    <t>保险费</t>
  </si>
  <si>
    <t>7/30/2021</t>
  </si>
  <si>
    <t>7/26/2021</t>
  </si>
  <si>
    <t>7/19/2021</t>
  </si>
  <si>
    <t>7/22/2021</t>
  </si>
  <si>
    <t>7/17/2021</t>
  </si>
  <si>
    <t>7/16/2021</t>
  </si>
  <si>
    <t>7/15/2021</t>
  </si>
  <si>
    <t>7/13/2021</t>
  </si>
  <si>
    <t>ダイコクドラッグ 百万遍店</t>
  </si>
  <si>
    <t>玉米茶</t>
  </si>
  <si>
    <t>微软OndDrive空间</t>
  </si>
  <si>
    <t>7/28/2021</t>
  </si>
  <si>
    <t>健身垫</t>
  </si>
  <si>
    <t>林俊杰演唱会</t>
  </si>
  <si>
    <t>小米手环</t>
  </si>
  <si>
    <t>7/21/2021</t>
  </si>
  <si>
    <t>超市送货食物</t>
  </si>
  <si>
    <t>食物护肤品等</t>
  </si>
  <si>
    <t>自动还款-花呗2021年07月账单</t>
  </si>
  <si>
    <t>Life超市食物</t>
  </si>
  <si>
    <t>上个月兔子转入股票的本金和收益</t>
  </si>
  <si>
    <t>手作集市</t>
  </si>
  <si>
    <t>商店街买菜</t>
  </si>
  <si>
    <t>バーガーキング</t>
  </si>
  <si>
    <t>ローソン</t>
  </si>
  <si>
    <t>6/13/2021</t>
  </si>
  <si>
    <t>6/19/2021</t>
  </si>
  <si>
    <t>6/21/2021</t>
  </si>
  <si>
    <t>6/25/2021</t>
  </si>
  <si>
    <t>6/26/2021</t>
  </si>
  <si>
    <t>6/28/2021</t>
  </si>
  <si>
    <t>6/29/2021</t>
  </si>
  <si>
    <t>UBER *EATS HELP.UBER.COM (AMSTERDAM )</t>
  </si>
  <si>
    <t>6/16/2021</t>
  </si>
  <si>
    <t>5/17/2021</t>
  </si>
  <si>
    <t>朝日新聞デジタル（朝日ＩＤ決済）</t>
  </si>
  <si>
    <t>6/17/2021</t>
  </si>
  <si>
    <t>6/15/2021</t>
  </si>
  <si>
    <t>無印良品（ネットストア）</t>
  </si>
  <si>
    <t>ＡｍａｚｏｎＰａｙ提携サイト</t>
  </si>
  <si>
    <t>nakatoメゾンボワール 国産鶏レバー ~瀬戸内産夏みかんの香り~</t>
  </si>
  <si>
    <t>6/18/2021</t>
  </si>
  <si>
    <t>中国共産党、その百年 (筑摩選書)</t>
  </si>
  <si>
    <t>Braza(ブラザ) ジェルフリー・ニップレス - 体温で貼り付く 粘着ゼリーなし 繰り返し使える シリコン ニプレス (ベージュ)</t>
  </si>
  <si>
    <t>ぎょれん北光 北海道産ほたて干貝柱 SAS 一等検 500g</t>
  </si>
  <si>
    <t>自动还款-花呗2021年06月账单</t>
  </si>
  <si>
    <t>肖黎姗委托转账给筑波老师</t>
  </si>
  <si>
    <t>小兔汉服头饰</t>
  </si>
  <si>
    <t>小兔汉服</t>
  </si>
  <si>
    <t>此前三个月话费</t>
  </si>
  <si>
    <t>アイハート出町店</t>
  </si>
  <si>
    <t>5/14/2021</t>
  </si>
  <si>
    <t>5/15/2021</t>
  </si>
  <si>
    <t>パティスリーセラヴィ</t>
  </si>
  <si>
    <t>5/18/2021</t>
  </si>
  <si>
    <t>5/19/2021</t>
  </si>
  <si>
    <t>5/21/2021</t>
  </si>
  <si>
    <t>5/22/2021</t>
  </si>
  <si>
    <t>5/31/2021</t>
  </si>
  <si>
    <t>5/16/2021</t>
  </si>
  <si>
    <t>4/17/2021</t>
  </si>
  <si>
    <t>5/25/2021</t>
  </si>
  <si>
    <t>メープロイ カレースパイス グリーンカレーペースト 50g×4袋セット</t>
  </si>
  <si>
    <t>TSUBAKI ボリュームタッチ シャンプー 詰め替え用 (根元ぺたんこ髪用) 345ml</t>
  </si>
  <si>
    <t>5/30/2021</t>
  </si>
  <si>
    <t>ソフィ 超熟睡ガード 360 12枚(くるっとテープつき)〔生理用ナプキン 夜用〕</t>
  </si>
  <si>
    <t>チャオコー ココナッツミルク 400ml ×6個</t>
  </si>
  <si>
    <t>午餐肉罐头等</t>
  </si>
  <si>
    <t>自动还款-花呗2021年05月账单</t>
  </si>
  <si>
    <t>JINS 京都寺町通店</t>
  </si>
  <si>
    <t>蚂蚁财富-天弘中证食品饮料指数C-卖出至余额宝</t>
  </si>
  <si>
    <t>亚马逊百货？</t>
  </si>
  <si>
    <t>牙医</t>
  </si>
  <si>
    <t>买帐篷</t>
  </si>
  <si>
    <t>R数据分析收入</t>
  </si>
  <si>
    <t>兔子**收入</t>
  </si>
  <si>
    <t>兔子买苹果手机自己出一部分</t>
  </si>
  <si>
    <t>给兔子出部分买苹果手机的钱</t>
  </si>
  <si>
    <t>上海师范讲课收入</t>
  </si>
  <si>
    <t>#######</t>
  </si>
  <si>
    <t>寿しのむさし三条本店Ｂ</t>
  </si>
  <si>
    <t>進々堂 三条河原町店</t>
  </si>
  <si>
    <t>UBER * EATS PENDING (AMSTERDAM )</t>
  </si>
  <si>
    <t>钢琴凳</t>
  </si>
  <si>
    <t>密室蒐集家 (ミステリー・リーグ)</t>
  </si>
  <si>
    <t>謎解きはディナーのあとで (小学館文庫)</t>
  </si>
  <si>
    <t xml:space="preserve">トリロジー オーガニック 美容オイル 美容液 </t>
  </si>
  <si>
    <t>赤い博物館 (文春文庫)</t>
  </si>
  <si>
    <t>大米等</t>
  </si>
  <si>
    <t>藤田種子 カンコクトウガラシ</t>
  </si>
  <si>
    <t>清洁剂椰浆芥末酱等等</t>
  </si>
  <si>
    <t>どんどん橋、落ちた〈新装改訂版〉 (講談社文庫)</t>
  </si>
  <si>
    <t>ユリアージュ モイストリップ&lt;無香料&gt;</t>
  </si>
  <si>
    <t>江戸川乱歩作品集 110作品収録＋関連作品</t>
  </si>
  <si>
    <t>自动还款-花呗2021年04月账单</t>
  </si>
  <si>
    <t>爸妈红包</t>
  </si>
  <si>
    <t>康燕锋红包</t>
  </si>
  <si>
    <t>招行信用卡还款</t>
  </si>
  <si>
    <t>百元店手套等</t>
  </si>
  <si>
    <t>买菜</t>
  </si>
  <si>
    <t>修车</t>
  </si>
  <si>
    <t>ダイコクドラッグ 百万遍店纸巾果冻</t>
  </si>
  <si>
    <t>磨刀器</t>
  </si>
  <si>
    <t>生发液</t>
  </si>
  <si>
    <t>护肤</t>
  </si>
  <si>
    <t>绍兴酒</t>
  </si>
  <si>
    <t>坚果</t>
  </si>
  <si>
    <t>亚马逊大米</t>
  </si>
  <si>
    <t>蚂蚁财富-富国中证红利指数增强A-现金分红至余额宝</t>
  </si>
  <si>
    <t>自动还款-花呗2021年03月账单</t>
  </si>
  <si>
    <t>交通卡充值</t>
  </si>
  <si>
    <t>食堂打菜</t>
  </si>
  <si>
    <t>吃饭</t>
  </si>
  <si>
    <t>胜寒的厨房秤</t>
  </si>
  <si>
    <t>移动电话费</t>
  </si>
  <si>
    <t>微信红包</t>
  </si>
  <si>
    <t>ドラッグユタカ　聖護院店</t>
  </si>
  <si>
    <t>小兔本月结账后应给</t>
  </si>
  <si>
    <t>借还人</t>
  </si>
  <si>
    <t>大国</t>
  </si>
  <si>
    <t>亚马逊阿萨姆红茶</t>
  </si>
  <si>
    <t>京都市保险费</t>
  </si>
  <si>
    <t>肃哥还钱</t>
  </si>
  <si>
    <t>许肃</t>
  </si>
  <si>
    <t>肃哥多给</t>
  </si>
  <si>
    <t>D2土壤肥料等</t>
  </si>
  <si>
    <t>手机充值红包</t>
  </si>
  <si>
    <t>转账</t>
  </si>
  <si>
    <t>张博译文</t>
  </si>
  <si>
    <t>卖掉蓝色自行车</t>
  </si>
  <si>
    <t>亚马逊推理小说</t>
  </si>
  <si>
    <t>亚马逊音箱</t>
  </si>
  <si>
    <t>商店街肉店</t>
  </si>
  <si>
    <t>商店街超市</t>
  </si>
  <si>
    <t>商店街零食店</t>
  </si>
  <si>
    <t>商店街</t>
  </si>
  <si>
    <t>自动还款-花呗2021年02月账单</t>
  </si>
  <si>
    <t>大国刷子和海绵等</t>
  </si>
  <si>
    <t>收到口令红包</t>
  </si>
  <si>
    <t>文具店红纸</t>
  </si>
  <si>
    <t>已包含添福红包1.18元</t>
  </si>
  <si>
    <t>新年福红包</t>
  </si>
  <si>
    <t>ＵＢＥＲ ＊ ＥＡＴＳ ＰＥＮＤＩＮＧ</t>
  </si>
  <si>
    <t>大国安全套</t>
  </si>
  <si>
    <t>CanDo竹炭等</t>
  </si>
  <si>
    <t>肯德基</t>
  </si>
  <si>
    <t>大国卫生巾</t>
  </si>
  <si>
    <t>河边观鸟停车费</t>
  </si>
  <si>
    <t>小兔子鞋子</t>
  </si>
  <si>
    <t>砧板</t>
  </si>
  <si>
    <t>亚马逊炒锅</t>
  </si>
  <si>
    <t>便利店</t>
  </si>
  <si>
    <t>信用卡还款</t>
  </si>
  <si>
    <t>2021-2-0</t>
  </si>
  <si>
    <t>亚马逊礼品券</t>
  </si>
  <si>
    <t>2021-2-99</t>
  </si>
  <si>
    <t>余额宝收益发放</t>
  </si>
  <si>
    <t>房屋保险费</t>
  </si>
  <si>
    <t>Gramarly年费</t>
  </si>
  <si>
    <t>日本移动电话费</t>
  </si>
  <si>
    <t>red package from dad</t>
  </si>
  <si>
    <t>red package from mom</t>
  </si>
  <si>
    <t>red package from myself</t>
  </si>
  <si>
    <t>red package from group</t>
  </si>
  <si>
    <t>red package from Hongwei Xu</t>
  </si>
  <si>
    <t>red package from Yanfeng</t>
  </si>
  <si>
    <t>phone charge</t>
  </si>
  <si>
    <t>red package to group</t>
  </si>
  <si>
    <t>red package to Yanfeng</t>
  </si>
  <si>
    <t>小兔结账后应给</t>
  </si>
  <si>
    <t>小兔子之前借钱炒股</t>
  </si>
  <si>
    <t>达尔文保险</t>
  </si>
  <si>
    <t>买入基金</t>
  </si>
  <si>
    <t>花呗还款</t>
  </si>
  <si>
    <t>基金分红</t>
  </si>
  <si>
    <t>基金转换退回部分</t>
  </si>
  <si>
    <t>肃哥借钱</t>
  </si>
  <si>
    <t>基金卖出</t>
  </si>
  <si>
    <t>林老师劳务费</t>
  </si>
  <si>
    <t>林剑艺</t>
  </si>
  <si>
    <t>D2电灯泡</t>
  </si>
  <si>
    <t>平安神宫集市</t>
  </si>
  <si>
    <t>Life超市</t>
  </si>
  <si>
    <t>河源町章鱼小丸子</t>
  </si>
  <si>
    <t>河源町UR红色大衣</t>
  </si>
  <si>
    <t>优衣库</t>
  </si>
  <si>
    <t>进进堂面包</t>
  </si>
  <si>
    <t>河源町停车</t>
  </si>
  <si>
    <t>河源町小吃</t>
  </si>
  <si>
    <t>河源町便利店饮料</t>
  </si>
  <si>
    <t>牛奶等</t>
  </si>
  <si>
    <t>酱油等</t>
  </si>
  <si>
    <t>大国买纸巾等</t>
  </si>
  <si>
    <t>卖掉吸尘器</t>
  </si>
  <si>
    <t>小兔黄色外套</t>
  </si>
  <si>
    <t>商店街买食材</t>
  </si>
  <si>
    <t>亚马逊会员费</t>
  </si>
  <si>
    <t>ATM取钱</t>
  </si>
  <si>
    <t>交宿舍费</t>
  </si>
  <si>
    <t>便利店牛奶</t>
  </si>
  <si>
    <t>煤气设备租用</t>
  </si>
  <si>
    <t>池田医院脂肪瘤</t>
  </si>
  <si>
    <t>大米和研磨瓶子</t>
  </si>
  <si>
    <t>手套</t>
  </si>
  <si>
    <t>口罩</t>
  </si>
  <si>
    <t>大米</t>
  </si>
  <si>
    <t>卖掉口罩</t>
  </si>
  <si>
    <t>便利店零食果酒</t>
  </si>
  <si>
    <t>凝固剂等</t>
  </si>
  <si>
    <t>菜刀和护肤乳</t>
  </si>
  <si>
    <t>面包刀和水果刀</t>
  </si>
  <si>
    <t>卖热风机</t>
  </si>
  <si>
    <t>奖学金汇入</t>
  </si>
  <si>
    <t>小兔子钱暂存</t>
  </si>
  <si>
    <t>消除无必要债务</t>
  </si>
  <si>
    <t>孟令杰</t>
  </si>
  <si>
    <t>Paypay返还</t>
  </si>
  <si>
    <t>基金月收入</t>
  </si>
  <si>
    <t>合计</t>
  </si>
  <si>
    <t>扣除已经给我的亚马逊</t>
  </si>
  <si>
    <t>和给我汇款的</t>
  </si>
  <si>
    <t>本月需要给我</t>
  </si>
  <si>
    <t>备注：</t>
  </si>
  <si>
    <t>东京迪士尼5500曾老师已经给我了。</t>
  </si>
  <si>
    <t>未结账单</t>
  </si>
  <si>
    <t>香水</t>
  </si>
  <si>
    <t>亚马逊其他购物</t>
  </si>
  <si>
    <t>预算</t>
  </si>
  <si>
    <t>兔子应给</t>
  </si>
  <si>
    <t>扣除兔子给我转账7000</t>
  </si>
  <si>
    <t>11月2日通过支付宝给我了</t>
  </si>
  <si>
    <t>还应该给我</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</si>
</sst>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0_);[Red]\(0\)"/>
    <numFmt numFmtId="165" formatCode="yyyy-M-d"/>
    <numFmt numFmtId="166" formatCode="d/m/yyyy"/>
    <numFmt numFmtId="167" formatCode="yyyy/mm/dd"/>
    <numFmt numFmtId="168" formatCode="yyyy/m/d"/>
    <numFmt numFmtId="169" formatCode="0_ "/>
    <numFmt numFmtId="170" formatCode="yyyy/m"/>
  </numFmts>
  <fonts count="25">
    <font>
      <sz val="11.0"/>
      <color rgb="FF000000"/>
      <name val="等线"/>
    </font>
    <font/>
    <font>
      <sz val="10.0"/>
      <color rgb="FF000000"/>
      <name val="等线"/>
    </font>
    <font>
      <b/>
      <sz val="10.0"/>
      <color rgb="FF000000"/>
      <name val="等线"/>
    </font>
    <font>
      <b/>
      <sz val="10.0"/>
      <color rgb="FF000000"/>
    </font>
    <font>
      <sz val="10.0"/>
      <color rgb="FF000000"/>
    </font>
    <font>
      <sz val="10.0"/>
      <color rgb="FF000000"/>
      <name val="Arial"/>
    </font>
    <font>
      <b/>
      <sz val="10.0"/>
      <color rgb="FF000000"/>
      <name val="Arial"/>
    </font>
    <font>
      <sz val="10.0"/>
    </font>
    <font>
      <sz val="11.0"/>
      <color rgb="FF000000"/>
      <name val="Inconsolata"/>
    </font>
    <font>
      <sz val="10.0"/>
      <color rgb="FFFF0000"/>
      <name val="等线"/>
    </font>
    <font>
      <sz val="10.0"/>
      <name val="Arial"/>
    </font>
    <font>
      <b/>
      <sz val="11.0"/>
      <color rgb="FF000000"/>
      <name val="Arial"/>
    </font>
    <font>
      <name val="Arial"/>
    </font>
    <font>
      <sz val="11.0"/>
      <name val="Calibri"/>
    </font>
    <font>
      <sz val="11.0"/>
      <name val="Arial"/>
    </font>
    <font>
      <sz val="11.0"/>
      <name val="等线"/>
    </font>
    <font>
      <color rgb="FF000000"/>
    </font>
    <font>
      <sz val="11.0"/>
      <color rgb="FF000000"/>
      <name val="Calibri"/>
    </font>
    <font>
      <sz val="11.0"/>
      <color rgb="FF000000"/>
      <name val="游ゴシック"/>
    </font>
    <font>
      <sz val="11.0"/>
      <color rgb="FF000000"/>
      <name val="微软雅黑"/>
    </font>
    <font>
      <sz val="10.0"/>
      <color rgb="FFFF0000"/>
      <name val="Arial"/>
    </font>
    <font>
      <b/>
      <sz val="11.0"/>
      <color rgb="FF000000"/>
      <name val="等线"/>
    </font>
    <font>
      <b/>
    </font>
    <font>
      <sz val="11.0"/>
      <color rgb="FF000000"/>
      <name val="Arial"/>
    </font>
  </fonts>
  <fills count="10">
    <fill>
      <patternFill patternType="none"/>
    </fill>
    <fill>
      <patternFill patternType="lightGray"/>
    </fill>
    <fill>
      <patternFill patternType="solid">
        <fgColor rgb="FFFCE5CD"/>
        <bgColor rgb="FFFCE5CD"/>
      </patternFill>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D8D8D8"/>
        <bgColor rgb="FFD8D8D8"/>
      </patternFill>
    </fill>
    <fill>
      <patternFill patternType="solid">
        <fgColor rgb="FFF6B26B"/>
        <bgColor rgb="FFF6B26B"/>
      </patternFill>
    </fill>
    <fill>
      <patternFill patternType="solid">
        <fgColor rgb="FFF9CB9C"/>
        <bgColor rgb="FFF9CB9C"/>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s>
  <cellStyleXfs count="1">
    <xf borderId="0" fillId="0" fontId="0" numFmtId="0" applyAlignment="1" applyFont="1"/>
  </cellStyleXfs>
  <cellXfs count="206">
    <xf borderId="0" fillId="0" fontId="0" numFmtId="0" xfId="0" applyAlignment="1" applyFont="1">
      <alignment readingOrder="0" shrinkToFit="0" vertical="center" wrapText="0"/>
    </xf>
    <xf borderId="0" fillId="0" fontId="1" numFmtId="0" xfId="0" applyAlignment="1" applyFont="1">
      <alignment horizontal="left" vertical="center"/>
    </xf>
    <xf borderId="0" fillId="0" fontId="1" numFmtId="0" xfId="0" applyAlignment="1" applyFont="1">
      <alignment horizontal="right" readingOrder="0" vertical="center"/>
    </xf>
    <xf borderId="0" fillId="0" fontId="1" numFmtId="0" xfId="0" applyAlignment="1" applyFont="1">
      <alignment horizontal="left" readingOrder="0" vertical="center"/>
    </xf>
    <xf borderId="0" fillId="2" fontId="1" numFmtId="0" xfId="0" applyAlignment="1" applyFill="1" applyFont="1">
      <alignment horizontal="right" readingOrder="0" vertical="center"/>
    </xf>
    <xf borderId="0" fillId="0" fontId="1" numFmtId="0" xfId="0" applyAlignment="1" applyFont="1">
      <alignment horizontal="right" vertical="center"/>
    </xf>
    <xf borderId="0" fillId="2" fontId="1" numFmtId="1" xfId="0" applyAlignment="1" applyFont="1" applyNumberFormat="1">
      <alignment horizontal="right" vertical="center"/>
    </xf>
    <xf borderId="0" fillId="2" fontId="1" numFmtId="0" xfId="0" applyAlignment="1" applyFont="1">
      <alignment horizontal="right" vertical="center"/>
    </xf>
    <xf borderId="0" fillId="3" fontId="1" numFmtId="0" xfId="0" applyAlignment="1" applyFill="1" applyFont="1">
      <alignment horizontal="right" vertical="center"/>
    </xf>
    <xf borderId="0" fillId="4" fontId="2" numFmtId="1" xfId="0" applyAlignment="1" applyFill="1" applyFont="1" applyNumberFormat="1">
      <alignment horizontal="right" vertical="center"/>
    </xf>
    <xf borderId="0" fillId="4" fontId="3" numFmtId="1" xfId="0" applyAlignment="1" applyFont="1" applyNumberFormat="1">
      <alignment horizontal="left" vertical="center"/>
    </xf>
    <xf borderId="0" fillId="4" fontId="3" numFmtId="1" xfId="0" applyAlignment="1" applyFont="1" applyNumberFormat="1">
      <alignment horizontal="center" vertical="center"/>
    </xf>
    <xf borderId="0" fillId="4" fontId="4" numFmtId="1" xfId="0" applyAlignment="1" applyFont="1" applyNumberFormat="1">
      <alignment horizontal="center" vertical="center"/>
    </xf>
    <xf borderId="0" fillId="4" fontId="3" numFmtId="1" xfId="0" applyAlignment="1" applyFont="1" applyNumberFormat="1">
      <alignment horizontal="center" readingOrder="0" vertical="center"/>
    </xf>
    <xf borderId="0" fillId="4" fontId="5" numFmtId="0" xfId="0" applyAlignment="1" applyFont="1">
      <alignment vertical="center"/>
    </xf>
    <xf borderId="0" fillId="4" fontId="4" numFmtId="1" xfId="0" applyAlignment="1" applyFont="1" applyNumberFormat="1">
      <alignment horizontal="center" readingOrder="0" vertical="center"/>
    </xf>
    <xf borderId="0" fillId="4" fontId="2" numFmtId="1" xfId="0" applyAlignment="1" applyFont="1" applyNumberFormat="1">
      <alignment horizontal="left" vertical="center"/>
    </xf>
    <xf borderId="0" fillId="4" fontId="6" numFmtId="1" xfId="0" applyAlignment="1" applyFont="1" applyNumberFormat="1">
      <alignment horizontal="left" vertical="center"/>
    </xf>
    <xf borderId="0" fillId="4" fontId="6" numFmtId="1" xfId="0" applyAlignment="1" applyFont="1" applyNumberFormat="1">
      <alignment horizontal="right" vertical="center"/>
    </xf>
    <xf borderId="0" fillId="5" fontId="6" numFmtId="1" xfId="0" applyAlignment="1" applyFill="1" applyFont="1" applyNumberFormat="1">
      <alignment horizontal="right" vertical="center"/>
    </xf>
    <xf borderId="0" fillId="4" fontId="6" numFmtId="1" xfId="0" applyAlignment="1" applyFont="1" applyNumberFormat="1">
      <alignment horizontal="right" vertical="center"/>
    </xf>
    <xf borderId="0" fillId="4" fontId="6" numFmtId="1" xfId="0" applyAlignment="1" applyFont="1" applyNumberFormat="1">
      <alignment horizontal="right" readingOrder="0" vertical="center"/>
    </xf>
    <xf borderId="0" fillId="5" fontId="6" numFmtId="1" xfId="0" applyAlignment="1" applyFont="1" applyNumberFormat="1">
      <alignment horizontal="right" vertical="center"/>
    </xf>
    <xf borderId="0" fillId="4" fontId="6" numFmtId="1" xfId="0" applyAlignment="1" applyFont="1" applyNumberFormat="1">
      <alignment horizontal="right" readingOrder="0" vertical="center"/>
    </xf>
    <xf borderId="0" fillId="4" fontId="6" numFmtId="1" xfId="0" applyAlignment="1" applyFont="1" applyNumberFormat="1">
      <alignment horizontal="left" readingOrder="0" vertical="center"/>
    </xf>
    <xf borderId="0" fillId="6" fontId="6" numFmtId="1" xfId="0" applyAlignment="1" applyFill="1" applyFont="1" applyNumberFormat="1">
      <alignment horizontal="right" vertical="center"/>
    </xf>
    <xf borderId="0" fillId="2" fontId="6" numFmtId="164" xfId="0" applyAlignment="1" applyFont="1" applyNumberFormat="1">
      <alignment horizontal="right" vertical="center"/>
    </xf>
    <xf borderId="0" fillId="2" fontId="6" numFmtId="1" xfId="0" applyAlignment="1" applyFont="1" applyNumberFormat="1">
      <alignment horizontal="right" vertical="center"/>
    </xf>
    <xf borderId="0" fillId="0" fontId="2" numFmtId="1" xfId="0" applyAlignment="1" applyFont="1" applyNumberFormat="1">
      <alignment horizontal="left" vertical="center"/>
    </xf>
    <xf borderId="0" fillId="0" fontId="2" numFmtId="1" xfId="0" applyAlignment="1" applyFont="1" applyNumberFormat="1">
      <alignment horizontal="right" readingOrder="0" vertical="center"/>
    </xf>
    <xf borderId="0" fillId="0" fontId="7" numFmtId="1" xfId="0" applyAlignment="1" applyFont="1" applyNumberFormat="1">
      <alignment horizontal="center" readingOrder="0" vertical="center"/>
    </xf>
    <xf borderId="0" fillId="0" fontId="7" numFmtId="1" xfId="0" applyAlignment="1" applyFont="1" applyNumberFormat="1">
      <alignment horizontal="center" vertical="center"/>
    </xf>
    <xf borderId="0" fillId="0" fontId="7" numFmtId="1" xfId="0" applyAlignment="1" applyFont="1" applyNumberFormat="1">
      <alignment horizontal="center" readingOrder="0" vertical="center"/>
    </xf>
    <xf borderId="0" fillId="0" fontId="7" numFmtId="1" xfId="0" applyAlignment="1" applyFont="1" applyNumberFormat="1">
      <alignment horizontal="center" vertical="center"/>
    </xf>
    <xf borderId="0" fillId="0" fontId="8" numFmtId="0" xfId="0" applyAlignment="1" applyFont="1">
      <alignment vertical="center"/>
    </xf>
    <xf borderId="0" fillId="0" fontId="8" numFmtId="0" xfId="0" applyAlignment="1" applyFont="1">
      <alignment readingOrder="0" vertical="center"/>
    </xf>
    <xf borderId="0" fillId="0" fontId="2" numFmtId="1" xfId="0" applyAlignment="1" applyFont="1" applyNumberFormat="1">
      <alignment horizontal="right" vertical="center"/>
    </xf>
    <xf borderId="0" fillId="0" fontId="8" numFmtId="0" xfId="0" applyAlignment="1" applyFont="1">
      <alignment readingOrder="0" vertical="center"/>
    </xf>
    <xf borderId="0" fillId="0" fontId="6" numFmtId="1" xfId="0" applyAlignment="1" applyFont="1" applyNumberFormat="1">
      <alignment horizontal="center" readingOrder="0" vertical="center"/>
    </xf>
    <xf borderId="0" fillId="4" fontId="9" numFmtId="1" xfId="0" applyAlignment="1" applyFont="1" applyNumberFormat="1">
      <alignment readingOrder="0" vertical="center"/>
    </xf>
    <xf borderId="0" fillId="0" fontId="2" numFmtId="1" xfId="0" applyAlignment="1" applyFont="1" applyNumberFormat="1">
      <alignment horizontal="center" readingOrder="0" vertical="center"/>
    </xf>
    <xf borderId="0" fillId="0" fontId="3" numFmtId="1" xfId="0" applyAlignment="1" applyFont="1" applyNumberFormat="1">
      <alignment horizontal="left" readingOrder="0" vertical="center"/>
    </xf>
    <xf borderId="0" fillId="4" fontId="2" numFmtId="1" xfId="0" applyAlignment="1" applyFont="1" applyNumberFormat="1">
      <alignment horizontal="center" vertical="center"/>
    </xf>
    <xf borderId="0" fillId="4" fontId="2" numFmtId="1" xfId="0" applyAlignment="1" applyFont="1" applyNumberFormat="1">
      <alignment horizontal="center" readingOrder="0" vertical="center"/>
    </xf>
    <xf borderId="0" fillId="4" fontId="5" numFmtId="1" xfId="0" applyAlignment="1" applyFont="1" applyNumberFormat="1">
      <alignment horizontal="center" readingOrder="0" vertical="center"/>
    </xf>
    <xf borderId="0" fillId="0" fontId="2" numFmtId="1" xfId="0" applyAlignment="1" applyFont="1" applyNumberFormat="1">
      <alignment horizontal="left" readingOrder="0" vertical="center"/>
    </xf>
    <xf borderId="0" fillId="0" fontId="10" numFmtId="1" xfId="0" applyAlignment="1" applyFont="1" applyNumberFormat="1">
      <alignment horizontal="left" readingOrder="0" vertical="center"/>
    </xf>
    <xf borderId="1" fillId="0" fontId="11" numFmtId="0" xfId="0" applyAlignment="1" applyBorder="1" applyFont="1">
      <alignment horizontal="left" vertical="center"/>
    </xf>
    <xf borderId="2" fillId="0" fontId="6" numFmtId="0" xfId="0" applyAlignment="1" applyBorder="1" applyFont="1">
      <alignment horizontal="left" vertical="center"/>
    </xf>
    <xf borderId="1" fillId="4" fontId="12" numFmtId="0" xfId="0" applyAlignment="1" applyBorder="1" applyFont="1">
      <alignment horizontal="right" vertical="bottom"/>
    </xf>
    <xf borderId="2" fillId="4" fontId="12" numFmtId="0" xfId="0" applyAlignment="1" applyBorder="1" applyFont="1">
      <alignment horizontal="right" vertical="bottom"/>
    </xf>
    <xf borderId="3" fillId="4" fontId="12" numFmtId="0" xfId="0" applyAlignment="1" applyBorder="1" applyFont="1">
      <alignment horizontal="right" vertical="bottom"/>
    </xf>
    <xf borderId="2" fillId="4" fontId="7" numFmtId="0" xfId="0" applyAlignment="1" applyBorder="1" applyFont="1">
      <alignment horizontal="right" vertical="bottom"/>
    </xf>
    <xf borderId="3" fillId="4" fontId="12" numFmtId="0" xfId="0" applyAlignment="1" applyBorder="1" applyFont="1">
      <alignment horizontal="right" vertical="bottom"/>
    </xf>
    <xf borderId="4" fillId="0" fontId="6" numFmtId="0" xfId="0" applyAlignment="1" applyBorder="1" applyFont="1">
      <alignment vertical="bottom"/>
    </xf>
    <xf borderId="5" fillId="0" fontId="6" numFmtId="0" xfId="0" applyAlignment="1" applyBorder="1" applyFont="1">
      <alignment vertical="bottom"/>
    </xf>
    <xf borderId="4" fillId="2" fontId="13" numFmtId="1" xfId="0" applyAlignment="1" applyBorder="1" applyFont="1" applyNumberFormat="1">
      <alignment horizontal="right" vertical="bottom"/>
    </xf>
    <xf borderId="5" fillId="2" fontId="13" numFmtId="1" xfId="0" applyAlignment="1" applyBorder="1" applyFont="1" applyNumberFormat="1">
      <alignment horizontal="right" vertical="bottom"/>
    </xf>
    <xf borderId="6" fillId="2" fontId="13" numFmtId="1" xfId="0" applyAlignment="1" applyBorder="1" applyFont="1" applyNumberFormat="1">
      <alignment horizontal="right" vertical="bottom"/>
    </xf>
    <xf borderId="5" fillId="4" fontId="6" numFmtId="1" xfId="0" applyAlignment="1" applyBorder="1" applyFont="1" applyNumberFormat="1">
      <alignment horizontal="right" vertical="bottom"/>
    </xf>
    <xf borderId="4" fillId="6" fontId="6" numFmtId="1" xfId="0" applyAlignment="1" applyBorder="1" applyFont="1" applyNumberFormat="1">
      <alignment horizontal="right" vertical="bottom"/>
    </xf>
    <xf borderId="5" fillId="6" fontId="6" numFmtId="1" xfId="0" applyAlignment="1" applyBorder="1" applyFont="1" applyNumberFormat="1">
      <alignment horizontal="right" vertical="bottom"/>
    </xf>
    <xf borderId="6" fillId="5" fontId="14" numFmtId="1" xfId="0" applyAlignment="1" applyBorder="1" applyFont="1" applyNumberFormat="1">
      <alignment horizontal="right" vertical="center"/>
    </xf>
    <xf borderId="7" fillId="0" fontId="11" numFmtId="0" xfId="0" applyAlignment="1" applyBorder="1" applyFont="1">
      <alignment vertical="bottom"/>
    </xf>
    <xf borderId="0" fillId="0" fontId="11" numFmtId="0" xfId="0" applyAlignment="1" applyFont="1">
      <alignment vertical="bottom"/>
    </xf>
    <xf borderId="7" fillId="2" fontId="13" numFmtId="1" xfId="0" applyAlignment="1" applyBorder="1" applyFont="1" applyNumberFormat="1">
      <alignment horizontal="right" vertical="bottom"/>
    </xf>
    <xf borderId="0" fillId="2" fontId="13" numFmtId="1" xfId="0" applyAlignment="1" applyFont="1" applyNumberFormat="1">
      <alignment horizontal="right" vertical="bottom"/>
    </xf>
    <xf borderId="8" fillId="2" fontId="13" numFmtId="1" xfId="0" applyAlignment="1" applyBorder="1" applyFont="1" applyNumberFormat="1">
      <alignment horizontal="right" vertical="bottom"/>
    </xf>
    <xf borderId="0" fillId="4" fontId="6" numFmtId="1" xfId="0" applyAlignment="1" applyFont="1" applyNumberFormat="1">
      <alignment horizontal="right" vertical="bottom"/>
    </xf>
    <xf borderId="7" fillId="6" fontId="6" numFmtId="1" xfId="0" applyAlignment="1" applyBorder="1" applyFont="1" applyNumberFormat="1">
      <alignment horizontal="right" vertical="bottom"/>
    </xf>
    <xf borderId="0" fillId="6" fontId="6" numFmtId="1" xfId="0" applyAlignment="1" applyFont="1" applyNumberFormat="1">
      <alignment horizontal="right" vertical="bottom"/>
    </xf>
    <xf borderId="8" fillId="5" fontId="14" numFmtId="1" xfId="0" applyAlignment="1" applyBorder="1" applyFont="1" applyNumberFormat="1">
      <alignment horizontal="right" vertical="center"/>
    </xf>
    <xf borderId="7" fillId="0" fontId="11" numFmtId="0" xfId="0" applyAlignment="1" applyBorder="1" applyFont="1">
      <alignment vertical="bottom"/>
    </xf>
    <xf borderId="0" fillId="0" fontId="11" numFmtId="0" xfId="0" applyAlignment="1" applyFont="1">
      <alignment vertical="bottom"/>
    </xf>
    <xf borderId="7" fillId="0" fontId="13" numFmtId="1" xfId="0" applyAlignment="1" applyBorder="1" applyFont="1" applyNumberFormat="1">
      <alignment horizontal="right" vertical="bottom"/>
    </xf>
    <xf borderId="0" fillId="0" fontId="13" numFmtId="1" xfId="0" applyAlignment="1" applyFont="1" applyNumberFormat="1">
      <alignment horizontal="right" vertical="bottom"/>
    </xf>
    <xf borderId="8" fillId="3" fontId="13" numFmtId="1" xfId="0" applyAlignment="1" applyBorder="1" applyFont="1" applyNumberFormat="1">
      <alignment horizontal="right" vertical="bottom"/>
    </xf>
    <xf borderId="0" fillId="4" fontId="0" numFmtId="0" xfId="0" applyAlignment="1" applyFont="1">
      <alignment horizontal="right" readingOrder="0" vertical="center"/>
    </xf>
    <xf borderId="9" fillId="0" fontId="11" numFmtId="0" xfId="0" applyAlignment="1" applyBorder="1" applyFont="1">
      <alignment vertical="bottom"/>
    </xf>
    <xf borderId="10" fillId="0" fontId="11" numFmtId="0" xfId="0" applyAlignment="1" applyBorder="1" applyFont="1">
      <alignment vertical="bottom"/>
    </xf>
    <xf borderId="9" fillId="3" fontId="13" numFmtId="1" xfId="0" applyAlignment="1" applyBorder="1" applyFont="1" applyNumberFormat="1">
      <alignment horizontal="right" vertical="bottom"/>
    </xf>
    <xf borderId="10" fillId="3" fontId="13" numFmtId="1" xfId="0" applyAlignment="1" applyBorder="1" applyFont="1" applyNumberFormat="1">
      <alignment horizontal="right" vertical="bottom"/>
    </xf>
    <xf borderId="11" fillId="5" fontId="13" numFmtId="1" xfId="0" applyAlignment="1" applyBorder="1" applyFont="1" applyNumberFormat="1">
      <alignment horizontal="right" vertical="bottom"/>
    </xf>
    <xf borderId="10" fillId="4" fontId="0" numFmtId="0" xfId="0" applyAlignment="1" applyBorder="1" applyFont="1">
      <alignment horizontal="right" readingOrder="0" vertical="center"/>
    </xf>
    <xf borderId="9" fillId="0" fontId="11" numFmtId="0" xfId="0" applyAlignment="1" applyBorder="1" applyFont="1">
      <alignment vertical="bottom"/>
    </xf>
    <xf borderId="10" fillId="0" fontId="11" numFmtId="0" xfId="0" applyAlignment="1" applyBorder="1" applyFont="1">
      <alignment vertical="bottom"/>
    </xf>
    <xf borderId="7" fillId="3" fontId="13" numFmtId="1" xfId="0" applyAlignment="1" applyBorder="1" applyFont="1" applyNumberFormat="1">
      <alignment horizontal="right" vertical="bottom"/>
    </xf>
    <xf borderId="0" fillId="3" fontId="13" numFmtId="1" xfId="0" applyAlignment="1" applyFont="1" applyNumberFormat="1">
      <alignment horizontal="right" vertical="bottom"/>
    </xf>
    <xf borderId="4" fillId="0" fontId="6" numFmtId="0" xfId="0" applyAlignment="1" applyBorder="1" applyFont="1">
      <alignment readingOrder="0" vertical="bottom"/>
    </xf>
    <xf borderId="8" fillId="5" fontId="13" numFmtId="1" xfId="0" applyAlignment="1" applyBorder="1" applyFont="1" applyNumberFormat="1">
      <alignment horizontal="right" vertical="bottom"/>
    </xf>
    <xf borderId="7" fillId="0" fontId="6" numFmtId="0" xfId="0" applyAlignment="1" applyBorder="1" applyFont="1">
      <alignment readingOrder="0" vertical="bottom"/>
    </xf>
    <xf borderId="0" fillId="0" fontId="6" numFmtId="0" xfId="0" applyAlignment="1" applyFont="1">
      <alignment vertical="bottom"/>
    </xf>
    <xf borderId="4" fillId="2" fontId="15" numFmtId="1" xfId="0" applyAlignment="1" applyBorder="1" applyFont="1" applyNumberFormat="1">
      <alignment horizontal="right" vertical="bottom"/>
    </xf>
    <xf borderId="5" fillId="2" fontId="15" numFmtId="1" xfId="0" applyAlignment="1" applyBorder="1" applyFont="1" applyNumberFormat="1">
      <alignment horizontal="right" vertical="bottom"/>
    </xf>
    <xf borderId="6" fillId="2" fontId="15" numFmtId="1" xfId="0" applyAlignment="1" applyBorder="1" applyFont="1" applyNumberFormat="1">
      <alignment horizontal="right" vertical="bottom"/>
    </xf>
    <xf borderId="5" fillId="4" fontId="16" numFmtId="1" xfId="0" applyAlignment="1" applyBorder="1" applyFont="1" applyNumberFormat="1">
      <alignment horizontal="right" vertical="bottom"/>
    </xf>
    <xf borderId="7" fillId="2" fontId="15" numFmtId="1" xfId="0" applyAlignment="1" applyBorder="1" applyFont="1" applyNumberFormat="1">
      <alignment horizontal="right" vertical="bottom"/>
    </xf>
    <xf borderId="0" fillId="2" fontId="15" numFmtId="1" xfId="0" applyAlignment="1" applyFont="1" applyNumberFormat="1">
      <alignment horizontal="right" vertical="bottom"/>
    </xf>
    <xf borderId="8" fillId="2" fontId="15" numFmtId="1" xfId="0" applyAlignment="1" applyBorder="1" applyFont="1" applyNumberFormat="1">
      <alignment horizontal="right" vertical="bottom"/>
    </xf>
    <xf borderId="0" fillId="4" fontId="16" numFmtId="1" xfId="0" applyAlignment="1" applyFont="1" applyNumberFormat="1">
      <alignment horizontal="right" vertical="bottom"/>
    </xf>
    <xf borderId="7" fillId="0" fontId="15" numFmtId="1" xfId="0" applyAlignment="1" applyBorder="1" applyFont="1" applyNumberFormat="1">
      <alignment horizontal="right" vertical="bottom"/>
    </xf>
    <xf borderId="0" fillId="0" fontId="15" numFmtId="1" xfId="0" applyAlignment="1" applyFont="1" applyNumberFormat="1">
      <alignment horizontal="right" vertical="bottom"/>
    </xf>
    <xf borderId="8" fillId="3" fontId="15" numFmtId="1" xfId="0" applyAlignment="1" applyBorder="1" applyFont="1" applyNumberFormat="1">
      <alignment horizontal="right" vertical="bottom"/>
    </xf>
    <xf borderId="0" fillId="4" fontId="16" numFmtId="0" xfId="0" applyAlignment="1" applyFont="1">
      <alignment horizontal="right" vertical="center"/>
    </xf>
    <xf borderId="9" fillId="3" fontId="15" numFmtId="1" xfId="0" applyAlignment="1" applyBorder="1" applyFont="1" applyNumberFormat="1">
      <alignment horizontal="right" vertical="bottom"/>
    </xf>
    <xf borderId="10" fillId="3" fontId="15" numFmtId="1" xfId="0" applyAlignment="1" applyBorder="1" applyFont="1" applyNumberFormat="1">
      <alignment horizontal="right" vertical="bottom"/>
    </xf>
    <xf borderId="11" fillId="5" fontId="15" numFmtId="1" xfId="0" applyAlignment="1" applyBorder="1" applyFont="1" applyNumberFormat="1">
      <alignment horizontal="right" vertical="bottom"/>
    </xf>
    <xf borderId="10" fillId="4" fontId="16" numFmtId="0" xfId="0" applyAlignment="1" applyBorder="1" applyFont="1">
      <alignment horizontal="right" vertical="center"/>
    </xf>
    <xf borderId="0" fillId="0" fontId="11" numFmtId="0" xfId="0" applyAlignment="1" applyFont="1">
      <alignment horizontal="left" vertical="center"/>
    </xf>
    <xf borderId="0" fillId="0" fontId="6" numFmtId="165" xfId="0" applyAlignment="1" applyFont="1" applyNumberFormat="1">
      <alignment horizontal="right" vertical="center"/>
    </xf>
    <xf borderId="0" fillId="0" fontId="17" numFmtId="0" xfId="0" applyAlignment="1" applyFont="1">
      <alignment horizontal="center" vertical="center"/>
    </xf>
    <xf borderId="0" fillId="0" fontId="17" numFmtId="0" xfId="0" applyAlignment="1" applyFont="1">
      <alignment vertical="center"/>
    </xf>
    <xf borderId="0" fillId="0" fontId="7" numFmtId="0" xfId="0" applyAlignment="1" applyFont="1">
      <alignment horizontal="center" readingOrder="0" vertical="center"/>
    </xf>
    <xf borderId="0" fillId="0" fontId="6" numFmtId="0" xfId="0" applyAlignment="1" applyFont="1">
      <alignment horizontal="center" vertical="center"/>
    </xf>
    <xf borderId="0" fillId="4" fontId="6" numFmtId="1" xfId="0" applyAlignment="1" applyFont="1" applyNumberFormat="1">
      <alignment horizontal="center" readingOrder="0" vertical="center"/>
    </xf>
    <xf borderId="0" fillId="4" fontId="6" numFmtId="1" xfId="0" applyAlignment="1" applyFont="1" applyNumberFormat="1">
      <alignment horizontal="center" vertical="center"/>
    </xf>
    <xf borderId="0" fillId="4" fontId="6" numFmtId="0" xfId="0" applyAlignment="1" applyFont="1">
      <alignment horizontal="center" readingOrder="0" vertical="center"/>
    </xf>
    <xf borderId="0" fillId="0" fontId="18" numFmtId="0" xfId="0" applyAlignment="1" applyFont="1">
      <alignment readingOrder="0" shrinkToFit="0" vertical="bottom" wrapText="0"/>
    </xf>
    <xf borderId="0" fillId="0" fontId="18" numFmtId="0" xfId="0" applyAlignment="1" applyFont="1">
      <alignment shrinkToFit="0" vertical="bottom" wrapText="0"/>
    </xf>
    <xf borderId="0" fillId="0" fontId="18" numFmtId="0" xfId="0" applyAlignment="1" applyFont="1">
      <alignment shrinkToFit="0" vertical="bottom" wrapText="0"/>
    </xf>
    <xf borderId="0" fillId="5" fontId="6" numFmtId="0" xfId="0" applyAlignment="1" applyFont="1">
      <alignment horizontal="right" vertical="center"/>
    </xf>
    <xf borderId="0" fillId="0" fontId="19" numFmtId="0" xfId="0" applyAlignment="1" applyFont="1">
      <alignment shrinkToFit="0" vertical="center" wrapText="0"/>
    </xf>
    <xf borderId="0" fillId="0" fontId="6" numFmtId="0" xfId="0" applyAlignment="1" applyFont="1">
      <alignment horizontal="right" vertical="center"/>
    </xf>
    <xf borderId="0" fillId="0" fontId="19" numFmtId="0" xfId="0" applyAlignment="1" applyFont="1">
      <alignment readingOrder="0" shrinkToFit="0" vertical="center" wrapText="0"/>
    </xf>
    <xf borderId="0" fillId="0" fontId="6" numFmtId="0" xfId="0" applyAlignment="1" applyFont="1">
      <alignment horizontal="right" readingOrder="0" vertical="center"/>
    </xf>
    <xf borderId="0" fillId="0" fontId="6" numFmtId="0" xfId="0" applyAlignment="1" applyFont="1">
      <alignment horizontal="left" readingOrder="0" vertical="center"/>
    </xf>
    <xf borderId="0" fillId="0" fontId="6" numFmtId="0" xfId="0" applyAlignment="1" applyFont="1">
      <alignment horizontal="left" vertical="center"/>
    </xf>
    <xf borderId="0" fillId="0" fontId="6" numFmtId="0" xfId="0" applyAlignment="1" applyFont="1">
      <alignment horizontal="right" readingOrder="0" shrinkToFit="0" vertical="center" wrapText="0"/>
    </xf>
    <xf borderId="0" fillId="0" fontId="6" numFmtId="0" xfId="0" applyAlignment="1" applyFont="1">
      <alignment horizontal="right" shrinkToFit="0" vertical="center" wrapText="0"/>
    </xf>
    <xf borderId="0" fillId="0" fontId="6" numFmtId="0" xfId="0" applyAlignment="1" applyFont="1">
      <alignment horizontal="right" shrinkToFit="0" vertical="center" wrapText="0"/>
    </xf>
    <xf borderId="0" fillId="0" fontId="19" numFmtId="0" xfId="0" applyAlignment="1" applyFont="1">
      <alignment horizontal="right" readingOrder="0" shrinkToFit="0" vertical="center" wrapText="0"/>
    </xf>
    <xf borderId="0" fillId="0" fontId="19" numFmtId="0" xfId="0" applyAlignment="1" applyFont="1">
      <alignment readingOrder="0" shrinkToFit="0" vertical="center" wrapText="0"/>
    </xf>
    <xf borderId="0" fillId="0" fontId="19" numFmtId="0" xfId="0" applyAlignment="1" applyFont="1">
      <alignment shrinkToFit="0" vertical="center" wrapText="0"/>
    </xf>
    <xf borderId="0" fillId="0" fontId="20" numFmtId="0" xfId="0" applyAlignment="1" applyFont="1">
      <alignment readingOrder="0" shrinkToFit="0" vertical="center" wrapText="0"/>
    </xf>
    <xf borderId="0" fillId="0" fontId="19" numFmtId="0" xfId="0" applyAlignment="1" applyFont="1">
      <alignment shrinkToFit="0" vertical="center" wrapText="0"/>
    </xf>
    <xf borderId="0" fillId="0" fontId="18" numFmtId="0" xfId="0" applyAlignment="1" applyFont="1">
      <alignment horizontal="right" readingOrder="0" shrinkToFit="0" vertical="bottom" wrapText="0"/>
    </xf>
    <xf borderId="0" fillId="0" fontId="6" numFmtId="165" xfId="0" applyAlignment="1" applyFont="1" applyNumberFormat="1">
      <alignment horizontal="right" readingOrder="0" shrinkToFit="0" vertical="center" wrapText="0"/>
    </xf>
    <xf borderId="0" fillId="0" fontId="19" numFmtId="165" xfId="0" applyAlignment="1" applyFont="1" applyNumberFormat="1">
      <alignment horizontal="right" readingOrder="0" shrinkToFit="0" vertical="center" wrapText="0"/>
    </xf>
    <xf borderId="0" fillId="0" fontId="19" numFmtId="165" xfId="0" applyAlignment="1" applyFont="1" applyNumberFormat="1">
      <alignment horizontal="right" readingOrder="0" shrinkToFit="0" vertical="bottom" wrapText="0"/>
    </xf>
    <xf borderId="0" fillId="0" fontId="19" numFmtId="0" xfId="0" applyAlignment="1" applyFont="1">
      <alignment readingOrder="0" shrinkToFit="0" vertical="bottom" wrapText="0"/>
    </xf>
    <xf borderId="0" fillId="0" fontId="19" numFmtId="0" xfId="0" applyAlignment="1" applyFont="1">
      <alignment shrinkToFit="0" vertical="bottom" wrapText="0"/>
    </xf>
    <xf borderId="0" fillId="0" fontId="19" numFmtId="0" xfId="0" applyAlignment="1" applyFont="1">
      <alignment shrinkToFit="0" vertical="bottom" wrapText="0"/>
    </xf>
    <xf borderId="0" fillId="0" fontId="19" numFmtId="0" xfId="0" applyAlignment="1" applyFont="1">
      <alignment horizontal="right" readingOrder="0" shrinkToFit="0" vertical="bottom" wrapText="0"/>
    </xf>
    <xf borderId="0" fillId="0" fontId="5" numFmtId="0" xfId="0" applyAlignment="1" applyFont="1">
      <alignment vertical="center"/>
    </xf>
    <xf borderId="0" fillId="0" fontId="6" numFmtId="165" xfId="0" applyAlignment="1" applyFont="1" applyNumberFormat="1">
      <alignment horizontal="right" readingOrder="0" vertical="center"/>
    </xf>
    <xf borderId="0" fillId="0" fontId="6" numFmtId="0" xfId="0" applyAlignment="1" applyFont="1">
      <alignment horizontal="left" readingOrder="0" shrinkToFit="0" vertical="center" wrapText="0"/>
    </xf>
    <xf borderId="0" fillId="0" fontId="18" numFmtId="0" xfId="0" applyAlignment="1" applyFont="1">
      <alignment readingOrder="0" shrinkToFit="0" vertical="bottom" wrapText="0"/>
    </xf>
    <xf borderId="0" fillId="0" fontId="18" numFmtId="0" xfId="0" applyAlignment="1" applyFont="1">
      <alignment shrinkToFit="0" vertical="bottom" wrapText="0"/>
    </xf>
    <xf borderId="0" fillId="0" fontId="18" numFmtId="0" xfId="0" applyAlignment="1" applyFont="1">
      <alignment shrinkToFit="0" vertical="bottom" wrapText="0"/>
    </xf>
    <xf borderId="0" fillId="0" fontId="5" numFmtId="0" xfId="0" applyAlignment="1" applyFont="1">
      <alignment readingOrder="0" vertical="center"/>
    </xf>
    <xf borderId="0" fillId="0" fontId="6" numFmtId="165" xfId="0" applyAlignment="1" applyFont="1" applyNumberFormat="1">
      <alignment horizontal="center" vertical="center"/>
    </xf>
    <xf borderId="0" fillId="0" fontId="19" numFmtId="165" xfId="0" applyAlignment="1" applyFont="1" applyNumberFormat="1">
      <alignment shrinkToFit="0" vertical="center" wrapText="0"/>
    </xf>
    <xf borderId="0" fillId="0" fontId="18" numFmtId="165" xfId="0" applyAlignment="1" applyFont="1" applyNumberFormat="1">
      <alignment readingOrder="0" shrinkToFit="0" vertical="bottom" wrapText="0"/>
    </xf>
    <xf borderId="0" fillId="0" fontId="6" numFmtId="165" xfId="0" applyAlignment="1" applyFont="1" applyNumberFormat="1">
      <alignment horizontal="left" readingOrder="0" vertical="center"/>
    </xf>
    <xf borderId="0" fillId="0" fontId="6" numFmtId="165" xfId="0" applyAlignment="1" applyFont="1" applyNumberFormat="1">
      <alignment horizontal="left" vertical="center"/>
    </xf>
    <xf borderId="0" fillId="0" fontId="19" numFmtId="166" xfId="0" applyAlignment="1" applyFont="1" applyNumberFormat="1">
      <alignment horizontal="right" readingOrder="0" shrinkToFit="0" vertical="center" wrapText="0"/>
    </xf>
    <xf borderId="0" fillId="0" fontId="18" numFmtId="167" xfId="0" applyAlignment="1" applyFont="1" applyNumberFormat="1">
      <alignment readingOrder="0" shrinkToFit="0" vertical="bottom" wrapText="0"/>
    </xf>
    <xf borderId="0" fillId="0" fontId="6" numFmtId="0" xfId="0" applyAlignment="1" applyFont="1">
      <alignment horizontal="center" readingOrder="0" vertical="center"/>
    </xf>
    <xf borderId="0" fillId="0" fontId="18" numFmtId="0" xfId="0" applyAlignment="1" applyFont="1">
      <alignment horizontal="right" readingOrder="0" shrinkToFit="0" vertical="bottom" wrapText="0"/>
    </xf>
    <xf borderId="0" fillId="0" fontId="20" numFmtId="0" xfId="0" applyAlignment="1" applyFont="1">
      <alignment readingOrder="0" shrinkToFit="0" vertical="bottom" wrapText="0"/>
    </xf>
    <xf borderId="0" fillId="0" fontId="19" numFmtId="0" xfId="0" applyAlignment="1" applyFont="1">
      <alignment horizontal="center" readingOrder="0" shrinkToFit="0" vertical="center" wrapText="0"/>
    </xf>
    <xf borderId="0" fillId="0" fontId="7" numFmtId="1" xfId="0" applyAlignment="1" applyFont="1" applyNumberFormat="1">
      <alignment horizontal="left" readingOrder="0" vertical="center"/>
    </xf>
    <xf borderId="0" fillId="4" fontId="6" numFmtId="0" xfId="0" applyAlignment="1" applyFont="1">
      <alignment horizontal="left" readingOrder="0" vertical="center"/>
    </xf>
    <xf borderId="0" fillId="0" fontId="6" numFmtId="165" xfId="0" applyAlignment="1" applyFont="1" applyNumberFormat="1">
      <alignment horizontal="left" readingOrder="0" shrinkToFit="0" vertical="center" wrapText="0"/>
    </xf>
    <xf borderId="0" fillId="0" fontId="6" numFmtId="0" xfId="0" applyAlignment="1" applyFont="1">
      <alignment horizontal="left" shrinkToFit="0" vertical="center" wrapText="0"/>
    </xf>
    <xf borderId="0" fillId="0" fontId="6" numFmtId="0" xfId="0" applyAlignment="1" applyFont="1">
      <alignment horizontal="left" shrinkToFit="0" vertical="center" wrapText="0"/>
    </xf>
    <xf borderId="0" fillId="0" fontId="11" numFmtId="0" xfId="0" applyAlignment="1" applyFont="1">
      <alignment horizontal="left" readingOrder="0" vertical="center"/>
    </xf>
    <xf borderId="0" fillId="0" fontId="21" numFmtId="0" xfId="0" applyAlignment="1" applyFont="1">
      <alignment horizontal="right" vertical="center"/>
    </xf>
    <xf borderId="0" fillId="0" fontId="8" numFmtId="0" xfId="0" applyAlignment="1" applyFont="1">
      <alignment horizontal="center" readingOrder="0" vertical="center"/>
    </xf>
    <xf borderId="0" fillId="0" fontId="8" numFmtId="0" xfId="0" applyAlignment="1" applyFont="1">
      <alignment horizontal="left" readingOrder="0" vertical="center"/>
    </xf>
    <xf borderId="0" fillId="0" fontId="11" numFmtId="0" xfId="0" applyAlignment="1" applyFont="1">
      <alignment horizontal="right" vertical="center"/>
    </xf>
    <xf borderId="0" fillId="0" fontId="1" numFmtId="0" xfId="0" applyAlignment="1" applyFont="1">
      <alignment readingOrder="0" vertical="center"/>
    </xf>
    <xf borderId="12" fillId="7" fontId="22" numFmtId="0" xfId="0" applyAlignment="1" applyBorder="1" applyFill="1" applyFont="1">
      <alignment horizontal="left" vertical="center"/>
    </xf>
    <xf borderId="12" fillId="7" fontId="22" numFmtId="0" xfId="0" applyAlignment="1" applyBorder="1" applyFont="1">
      <alignment horizontal="right" vertical="center"/>
    </xf>
    <xf borderId="0" fillId="0" fontId="0" numFmtId="168" xfId="0" applyAlignment="1" applyFont="1" applyNumberFormat="1">
      <alignment horizontal="left" readingOrder="0" vertical="center"/>
    </xf>
    <xf borderId="0" fillId="0" fontId="0" numFmtId="164" xfId="0" applyAlignment="1" applyFont="1" applyNumberFormat="1">
      <alignment readingOrder="0" vertical="center"/>
    </xf>
    <xf borderId="0" fillId="0" fontId="0" numFmtId="164" xfId="0" applyAlignment="1" applyFont="1" applyNumberFormat="1">
      <alignment vertical="center"/>
    </xf>
    <xf borderId="0" fillId="0" fontId="0" numFmtId="164" xfId="0" applyAlignment="1" applyFont="1" applyNumberFormat="1">
      <alignment horizontal="right" vertical="center"/>
    </xf>
    <xf borderId="0" fillId="8" fontId="0" numFmtId="164" xfId="0" applyAlignment="1" applyFill="1" applyFont="1" applyNumberFormat="1">
      <alignment readingOrder="0" vertical="center"/>
    </xf>
    <xf borderId="0" fillId="8" fontId="0" numFmtId="164" xfId="0" applyAlignment="1" applyFont="1" applyNumberFormat="1">
      <alignment vertical="center"/>
    </xf>
    <xf borderId="0" fillId="2" fontId="1" numFmtId="0" xfId="0" applyAlignment="1" applyFont="1">
      <alignment readingOrder="0" vertical="center"/>
    </xf>
    <xf borderId="0" fillId="2" fontId="0" numFmtId="164" xfId="0" applyAlignment="1" applyFont="1" applyNumberFormat="1">
      <alignment vertical="center"/>
    </xf>
    <xf borderId="0" fillId="0" fontId="0" numFmtId="0" xfId="0" applyAlignment="1" applyFont="1">
      <alignment horizontal="left" vertical="center"/>
    </xf>
    <xf borderId="0" fillId="0" fontId="14" numFmtId="0" xfId="0" applyAlignment="1" applyFont="1">
      <alignment horizontal="right" readingOrder="0" vertical="center"/>
    </xf>
    <xf borderId="0" fillId="0" fontId="1" numFmtId="164" xfId="0" applyAlignment="1" applyFont="1" applyNumberFormat="1">
      <alignment vertical="center"/>
    </xf>
    <xf borderId="0" fillId="9" fontId="0" numFmtId="164" xfId="0" applyAlignment="1" applyFill="1" applyFont="1" applyNumberFormat="1">
      <alignment readingOrder="0" vertical="center"/>
    </xf>
    <xf borderId="0" fillId="2" fontId="0" numFmtId="164" xfId="0" applyAlignment="1" applyFont="1" applyNumberFormat="1">
      <alignment readingOrder="0" vertical="center"/>
    </xf>
    <xf borderId="0" fillId="8" fontId="1" numFmtId="0" xfId="0" applyAlignment="1" applyFont="1">
      <alignment vertical="center"/>
    </xf>
    <xf borderId="0" fillId="0" fontId="14" numFmtId="164" xfId="0" applyAlignment="1" applyFont="1" applyNumberFormat="1">
      <alignment horizontal="right" readingOrder="0" vertical="center"/>
    </xf>
    <xf borderId="0" fillId="8" fontId="1" numFmtId="0" xfId="0" applyAlignment="1" applyFont="1">
      <alignment readingOrder="0" vertical="center"/>
    </xf>
    <xf borderId="0" fillId="0" fontId="1" numFmtId="1" xfId="0" applyAlignment="1" applyFont="1" applyNumberFormat="1">
      <alignment vertical="center"/>
    </xf>
    <xf borderId="0" fillId="4" fontId="1" numFmtId="0" xfId="0" applyAlignment="1" applyFont="1">
      <alignment vertical="center"/>
    </xf>
    <xf borderId="0" fillId="4" fontId="0" numFmtId="164" xfId="0" applyAlignment="1" applyFont="1" applyNumberFormat="1">
      <alignment readingOrder="0" vertical="center"/>
    </xf>
    <xf borderId="12" fillId="7" fontId="22" numFmtId="0" xfId="0" applyAlignment="1" applyBorder="1" applyFont="1">
      <alignment horizontal="right" readingOrder="0" vertical="center"/>
    </xf>
    <xf borderId="0" fillId="0" fontId="23" numFmtId="0" xfId="0" applyAlignment="1" applyFont="1">
      <alignment vertical="center"/>
    </xf>
    <xf borderId="0" fillId="0" fontId="23" numFmtId="164" xfId="0" applyAlignment="1" applyFont="1" applyNumberFormat="1">
      <alignment vertical="center"/>
    </xf>
    <xf borderId="0" fillId="0" fontId="23" numFmtId="0" xfId="0" applyAlignment="1" applyFont="1">
      <alignment readingOrder="0" vertical="center"/>
    </xf>
    <xf borderId="0" fillId="2" fontId="24" numFmtId="164" xfId="0" applyAlignment="1" applyFont="1" applyNumberFormat="1">
      <alignment readingOrder="0" vertical="center"/>
    </xf>
    <xf borderId="0" fillId="0" fontId="17" numFmtId="0" xfId="0" applyAlignment="1" applyFont="1">
      <alignment readingOrder="0" vertical="center"/>
    </xf>
    <xf borderId="0" fillId="4" fontId="24" numFmtId="0" xfId="0" applyAlignment="1" applyFont="1">
      <alignment readingOrder="0" vertical="center"/>
    </xf>
    <xf borderId="0" fillId="4" fontId="9" numFmtId="164" xfId="0" applyAlignment="1" applyFont="1" applyNumberFormat="1">
      <alignment vertical="center"/>
    </xf>
    <xf borderId="0" fillId="4" fontId="9" numFmtId="164" xfId="0" applyAlignment="1" applyFont="1" applyNumberFormat="1">
      <alignment readingOrder="0" vertical="center"/>
    </xf>
    <xf borderId="0" fillId="8" fontId="0" numFmtId="169" xfId="0" applyAlignment="1" applyFont="1" applyNumberFormat="1">
      <alignment readingOrder="0" vertical="center"/>
    </xf>
    <xf borderId="0" fillId="0" fontId="0" numFmtId="168" xfId="0" applyAlignment="1" applyFont="1" applyNumberFormat="1">
      <alignment horizontal="left" vertical="center"/>
    </xf>
    <xf borderId="0" fillId="0" fontId="1" numFmtId="170" xfId="0" applyAlignment="1" applyFont="1" applyNumberFormat="1">
      <alignment readingOrder="0" vertical="center"/>
    </xf>
    <xf borderId="0" fillId="0" fontId="0" numFmtId="0" xfId="0" applyAlignment="1" applyFon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Calibri"/>
              </a:defRPr>
            </a:pPr>
            <a:r>
              <a:rPr b="0" i="0" sz="1400">
                <a:solidFill>
                  <a:srgbClr val="595959"/>
                </a:solidFill>
                <a:latin typeface="Calibri"/>
              </a:rPr>
              <a:t>总计</a:t>
            </a:r>
          </a:p>
        </c:rich>
      </c:tx>
      <c:overlay val="0"/>
    </c:title>
    <c:plotArea>
      <c:layout/>
      <c:barChart>
        <c:barDir val="col"/>
        <c:grouping val="stacked"/>
        <c:ser>
          <c:idx val="0"/>
          <c:order val="0"/>
          <c:tx>
            <c:strRef>
              <c:f>'新总结'!$N$2</c:f>
            </c:strRef>
          </c:tx>
          <c:spPr>
            <a:solidFill>
              <a:srgbClr val="4472C4"/>
            </a:solidFill>
            <a:ln cmpd="sng">
              <a:solidFill>
                <a:srgbClr val="000000"/>
              </a:solidFill>
            </a:ln>
          </c:spPr>
          <c:cat>
            <c:strRef>
              <c:f>'新总结'!$A$3:$A$40</c:f>
            </c:strRef>
          </c:cat>
          <c:val>
            <c:numRef>
              <c:f>'新总结'!$N$3:$N$46</c:f>
              <c:numCache/>
            </c:numRef>
          </c:val>
        </c:ser>
        <c:ser>
          <c:idx val="1"/>
          <c:order val="1"/>
          <c:tx>
            <c:strRef>
              <c:f>'新总结'!$O$2</c:f>
            </c:strRef>
          </c:tx>
          <c:spPr>
            <a:solidFill>
              <a:srgbClr val="ED7D31"/>
            </a:solidFill>
            <a:ln cmpd="sng">
              <a:solidFill>
                <a:srgbClr val="000000"/>
              </a:solidFill>
            </a:ln>
          </c:spPr>
          <c:cat>
            <c:strRef>
              <c:f>'新总结'!$A$3:$A$40</c:f>
            </c:strRef>
          </c:cat>
          <c:val>
            <c:numRef>
              <c:f>'新总结'!$O$3:$O$46</c:f>
              <c:numCache/>
            </c:numRef>
          </c:val>
        </c:ser>
        <c:ser>
          <c:idx val="2"/>
          <c:order val="2"/>
          <c:tx>
            <c:strRef>
              <c:f>'新总结'!$P$2</c:f>
            </c:strRef>
          </c:tx>
          <c:spPr>
            <a:solidFill>
              <a:srgbClr val="A5A5A5"/>
            </a:solidFill>
            <a:ln cmpd="sng">
              <a:solidFill>
                <a:srgbClr val="000000"/>
              </a:solidFill>
            </a:ln>
          </c:spPr>
          <c:cat>
            <c:strRef>
              <c:f>'新总结'!$A$3:$A$40</c:f>
            </c:strRef>
          </c:cat>
          <c:val>
            <c:numRef>
              <c:f>'新总结'!$P$3:$P$48</c:f>
              <c:numCache/>
            </c:numRef>
          </c:val>
        </c:ser>
        <c:ser>
          <c:idx val="3"/>
          <c:order val="3"/>
          <c:tx>
            <c:strRef>
              <c:f>'新总结'!$Q$2</c:f>
            </c:strRef>
          </c:tx>
          <c:spPr>
            <a:solidFill>
              <a:srgbClr val="FFC000"/>
            </a:solidFill>
            <a:ln cmpd="sng">
              <a:solidFill>
                <a:srgbClr val="000000"/>
              </a:solidFill>
            </a:ln>
          </c:spPr>
          <c:cat>
            <c:strRef>
              <c:f>'新总结'!$A$3:$A$40</c:f>
            </c:strRef>
          </c:cat>
          <c:val>
            <c:numRef>
              <c:f>'新总结'!$Q$3:$Q$49</c:f>
              <c:numCache/>
            </c:numRef>
          </c:val>
        </c:ser>
        <c:overlap val="100"/>
        <c:axId val="831751582"/>
        <c:axId val="1748238129"/>
      </c:barChart>
      <c:catAx>
        <c:axId val="831751582"/>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rot="-5400000"/>
          <a:lstStyle/>
          <a:p>
            <a:pPr lvl="0">
              <a:defRPr b="0" i="0" sz="900">
                <a:solidFill>
                  <a:srgbClr val="595959"/>
                </a:solidFill>
                <a:latin typeface="Calibri"/>
              </a:defRPr>
            </a:pPr>
          </a:p>
        </c:txPr>
        <c:crossAx val="1748238129"/>
      </c:catAx>
      <c:valAx>
        <c:axId val="1748238129"/>
        <c:scaling>
          <c:orientation val="minMax"/>
          <c:max val="180000.0"/>
        </c:scaling>
        <c:delete val="0"/>
        <c:axPos val="l"/>
        <c:majorGridlines>
          <c:spPr>
            <a:ln>
              <a:solidFill>
                <a:srgbClr val="D9D9D9"/>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Calibri"/>
              </a:defRPr>
            </a:pPr>
          </a:p>
        </c:txPr>
        <c:crossAx val="831751582"/>
      </c:valAx>
      <c:spPr>
        <a:solidFill>
          <a:srgbClr val="FFFFFF"/>
        </a:solidFill>
      </c:spPr>
    </c:plotArea>
    <c:legend>
      <c:legendPos val="b"/>
      <c:overlay val="0"/>
      <c:txPr>
        <a:bodyPr/>
        <a:lstStyle/>
        <a:p>
          <a:pPr lvl="0">
            <a:defRPr b="0" i="0" sz="900">
              <a:solidFill>
                <a:srgbClr val="595959"/>
              </a:solidFill>
              <a:latin typeface="Calibri"/>
            </a:defRPr>
          </a:pPr>
        </a:p>
      </c:txPr>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净资产</a:t>
            </a:r>
          </a:p>
        </c:rich>
      </c:tx>
      <c:overlay val="0"/>
    </c:title>
    <c:plotArea>
      <c:layout/>
      <c:barChart>
        <c:barDir val="col"/>
        <c:ser>
          <c:idx val="0"/>
          <c:order val="0"/>
          <c:spPr>
            <a:solidFill>
              <a:srgbClr val="4285F4"/>
            </a:solidFill>
            <a:ln cmpd="sng">
              <a:solidFill>
                <a:srgbClr val="000000"/>
              </a:solidFill>
            </a:ln>
          </c:spPr>
          <c:cat>
            <c:strRef>
              <c:f>'新总结'!$A$3:$A$42</c:f>
            </c:strRef>
          </c:cat>
          <c:val>
            <c:numRef>
              <c:f>'新总结'!$AA$3:$AA$42</c:f>
              <c:numCache/>
            </c:numRef>
          </c:val>
        </c:ser>
        <c:axId val="1154884673"/>
        <c:axId val="1285936298"/>
      </c:barChart>
      <c:catAx>
        <c:axId val="1154884673"/>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285936298"/>
      </c:catAx>
      <c:valAx>
        <c:axId val="12859362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154884673"/>
      </c:valAx>
    </c:plotArea>
    <c:legend>
      <c:legendPos val="r"/>
      <c:overlay val="0"/>
      <c:txPr>
        <a:bodyPr/>
        <a:lstStyle/>
        <a:p>
          <a:pPr lvl="0">
            <a:defRPr b="0">
              <a:solidFill>
                <a:srgbClr val="000000"/>
              </a:solidFill>
              <a:latin typeface="Roboto"/>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44</xdr:row>
      <xdr:rowOff>28575</xdr:rowOff>
    </xdr:from>
    <xdr:ext cx="9048750" cy="2990850"/>
    <xdr:graphicFrame>
      <xdr:nvGraphicFramePr>
        <xdr:cNvPr id="1" name="Chart 1" title="图表"/>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47625</xdr:colOff>
      <xdr:row>44</xdr:row>
      <xdr:rowOff>28575</xdr:rowOff>
    </xdr:from>
    <xdr:ext cx="5886450" cy="2990850"/>
    <xdr:graphicFrame>
      <xdr:nvGraphicFramePr>
        <xdr:cNvPr id="2" name="Chart 2" title="图表"/>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4.xml"/><Relationship Id="rId3"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5.xml"/><Relationship Id="rId3"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6.xml"/><Relationship Id="rId3"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7.xml"/><Relationship Id="rId3"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18.xml"/><Relationship Id="rId3"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19.xml"/><Relationship Id="rId3"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20.xml"/><Relationship Id="rId3"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21.xml"/><Relationship Id="rId3"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21.xml"/><Relationship Id="rId2" Type="http://schemas.openxmlformats.org/officeDocument/2006/relationships/drawing" Target="../drawings/drawing22.xml"/><Relationship Id="rId3" Type="http://schemas.openxmlformats.org/officeDocument/2006/relationships/vmlDrawing" Target="../drawings/vmlDrawing21.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22.xml"/><Relationship Id="rId2" Type="http://schemas.openxmlformats.org/officeDocument/2006/relationships/drawing" Target="../drawings/drawing23.xml"/><Relationship Id="rId3" Type="http://schemas.openxmlformats.org/officeDocument/2006/relationships/vmlDrawing" Target="../drawings/vmlDrawing2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23.xml"/><Relationship Id="rId2" Type="http://schemas.openxmlformats.org/officeDocument/2006/relationships/drawing" Target="../drawings/drawing24.xml"/><Relationship Id="rId3" Type="http://schemas.openxmlformats.org/officeDocument/2006/relationships/vmlDrawing" Target="../drawings/vmlDrawing2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24.xml"/><Relationship Id="rId2" Type="http://schemas.openxmlformats.org/officeDocument/2006/relationships/drawing" Target="../drawings/drawing25.xml"/><Relationship Id="rId3" Type="http://schemas.openxmlformats.org/officeDocument/2006/relationships/vmlDrawing" Target="../drawings/vmlDrawing2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25.xml"/><Relationship Id="rId2" Type="http://schemas.openxmlformats.org/officeDocument/2006/relationships/drawing" Target="../drawings/drawing26.xml"/><Relationship Id="rId3" Type="http://schemas.openxmlformats.org/officeDocument/2006/relationships/vmlDrawing" Target="../drawings/vmlDrawing25.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26.xml"/><Relationship Id="rId2" Type="http://schemas.openxmlformats.org/officeDocument/2006/relationships/drawing" Target="../drawings/drawing27.xml"/><Relationship Id="rId3" Type="http://schemas.openxmlformats.org/officeDocument/2006/relationships/vmlDrawing" Target="../drawings/vmlDrawing26.vml"/></Relationships>
</file>

<file path=xl/worksheets/_rels/sheet28.xml.rels><?xml version="1.0" encoding="UTF-8" standalone="yes"?><Relationships xmlns="http://schemas.openxmlformats.org/package/2006/relationships"><Relationship Id="rId1" Type="http://schemas.openxmlformats.org/officeDocument/2006/relationships/comments" Target="../comments27.xml"/><Relationship Id="rId2" Type="http://schemas.openxmlformats.org/officeDocument/2006/relationships/drawing" Target="../drawings/drawing28.xml"/><Relationship Id="rId3" Type="http://schemas.openxmlformats.org/officeDocument/2006/relationships/vmlDrawing" Target="../drawings/vmlDrawing27.vml"/></Relationships>
</file>

<file path=xl/worksheets/_rels/sheet29.xml.rels><?xml version="1.0" encoding="UTF-8" standalone="yes"?><Relationships xmlns="http://schemas.openxmlformats.org/package/2006/relationships"><Relationship Id="rId1" Type="http://schemas.openxmlformats.org/officeDocument/2006/relationships/comments" Target="../comments28.xml"/><Relationship Id="rId2" Type="http://schemas.openxmlformats.org/officeDocument/2006/relationships/drawing" Target="../drawings/drawing29.xml"/><Relationship Id="rId3" Type="http://schemas.openxmlformats.org/officeDocument/2006/relationships/vmlDrawing" Target="../drawings/vmlDrawing28.vml"/></Relationships>
</file>

<file path=xl/worksheets/_rels/sheet30.xml.rels><?xml version="1.0" encoding="UTF-8" standalone="yes"?><Relationships xmlns="http://schemas.openxmlformats.org/package/2006/relationships"><Relationship Id="rId1" Type="http://schemas.openxmlformats.org/officeDocument/2006/relationships/comments" Target="../comments29.xml"/><Relationship Id="rId2" Type="http://schemas.openxmlformats.org/officeDocument/2006/relationships/drawing" Target="../drawings/drawing30.xml"/><Relationship Id="rId3" Type="http://schemas.openxmlformats.org/officeDocument/2006/relationships/vmlDrawing" Target="../drawings/vmlDrawing29.vml"/></Relationships>
</file>

<file path=xl/worksheets/_rels/sheet31.xml.rels><?xml version="1.0" encoding="UTF-8" standalone="yes"?><Relationships xmlns="http://schemas.openxmlformats.org/package/2006/relationships"><Relationship Id="rId1" Type="http://schemas.openxmlformats.org/officeDocument/2006/relationships/comments" Target="../comments30.xml"/><Relationship Id="rId2" Type="http://schemas.openxmlformats.org/officeDocument/2006/relationships/drawing" Target="../drawings/drawing31.xml"/><Relationship Id="rId3" Type="http://schemas.openxmlformats.org/officeDocument/2006/relationships/vmlDrawing" Target="../drawings/vmlDrawing30.vml"/></Relationships>
</file>

<file path=xl/worksheets/_rels/sheet32.xml.rels><?xml version="1.0" encoding="UTF-8" standalone="yes"?><Relationships xmlns="http://schemas.openxmlformats.org/package/2006/relationships"><Relationship Id="rId1" Type="http://schemas.openxmlformats.org/officeDocument/2006/relationships/comments" Target="../comments31.xml"/><Relationship Id="rId2" Type="http://schemas.openxmlformats.org/officeDocument/2006/relationships/drawing" Target="../drawings/drawing32.xml"/><Relationship Id="rId3" Type="http://schemas.openxmlformats.org/officeDocument/2006/relationships/vmlDrawing" Target="../drawings/vmlDrawing3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6" width="8.88"/>
  </cols>
  <sheetData>
    <row r="1">
      <c r="A1" s="1"/>
      <c r="B1" s="2" t="s">
        <v>0</v>
      </c>
      <c r="C1" s="2" t="s">
        <v>1</v>
      </c>
      <c r="D1" s="2" t="s">
        <v>2</v>
      </c>
      <c r="E1" s="2" t="s">
        <v>3</v>
      </c>
      <c r="F1" s="2" t="s">
        <v>4</v>
      </c>
    </row>
    <row r="2">
      <c r="A2" s="3">
        <v>202012.0</v>
      </c>
      <c r="B2" s="4">
        <v>-7912.0</v>
      </c>
      <c r="C2" s="5">
        <f>30766*16</f>
        <v>492256</v>
      </c>
      <c r="D2" s="5">
        <f>475*16</f>
        <v>7600</v>
      </c>
      <c r="E2" s="5">
        <f>210*16</f>
        <v>3360</v>
      </c>
      <c r="F2" s="5">
        <f>500*16</f>
        <v>8000</v>
      </c>
    </row>
    <row r="3">
      <c r="A3" s="3">
        <v>202101.0</v>
      </c>
      <c r="B3" s="6">
        <f>B2-160000+400000-'消费总计2021'!M5</f>
        <v>201958</v>
      </c>
      <c r="C3" s="7">
        <f>C2+sumif('202101'!$U3:$U70,C$1,'202101'!$V3:$V70)</f>
        <v>492256</v>
      </c>
      <c r="D3" s="7">
        <f>D2+sumif('202101'!$U3:$U70,D$1,'202101'!$V3:$V70)</f>
        <v>7600</v>
      </c>
      <c r="E3" s="7">
        <f>E2+sumif('202101'!$U3:$U70,E$1,'202101'!$V3:$V70)</f>
        <v>3360</v>
      </c>
      <c r="F3" s="8">
        <f>F2</f>
        <v>8000</v>
      </c>
    </row>
    <row r="4">
      <c r="A4" s="3">
        <v>202102.0</v>
      </c>
      <c r="B4" s="6">
        <f>B3-'消费总计2021'!M10</f>
        <v>178505.46</v>
      </c>
      <c r="C4" s="8">
        <f t="shared" ref="C4:F4" si="1">C3</f>
        <v>492256</v>
      </c>
      <c r="D4" s="8">
        <f t="shared" si="1"/>
        <v>7600</v>
      </c>
      <c r="E4" s="8">
        <f t="shared" si="1"/>
        <v>3360</v>
      </c>
      <c r="F4" s="8">
        <f t="shared" si="1"/>
        <v>8000</v>
      </c>
    </row>
    <row r="5">
      <c r="A5" s="3">
        <v>202103.0</v>
      </c>
      <c r="B5" s="6">
        <f>B4-'消费总计2021'!M15</f>
        <v>172103.86</v>
      </c>
      <c r="C5" s="8">
        <f t="shared" ref="C5:F5" si="2">C4</f>
        <v>492256</v>
      </c>
      <c r="D5" s="8">
        <f t="shared" si="2"/>
        <v>7600</v>
      </c>
      <c r="E5" s="8">
        <f t="shared" si="2"/>
        <v>3360</v>
      </c>
      <c r="F5" s="8">
        <f t="shared" si="2"/>
        <v>8000</v>
      </c>
    </row>
    <row r="6">
      <c r="A6" s="3">
        <v>202104.0</v>
      </c>
      <c r="B6" s="6">
        <f>B5-'消费总计2021'!M20</f>
        <v>153333.7</v>
      </c>
      <c r="C6" s="8">
        <f t="shared" ref="C6:F6" si="3">C5</f>
        <v>492256</v>
      </c>
      <c r="D6" s="8">
        <f t="shared" si="3"/>
        <v>7600</v>
      </c>
      <c r="E6" s="8">
        <f t="shared" si="3"/>
        <v>3360</v>
      </c>
      <c r="F6" s="8">
        <f t="shared" si="3"/>
        <v>8000</v>
      </c>
    </row>
    <row r="7">
      <c r="A7" s="3">
        <v>202105.0</v>
      </c>
      <c r="B7" s="6">
        <f>B6-'消费总计2021'!M25-49221</f>
        <v>54891.44</v>
      </c>
      <c r="C7" s="8">
        <f t="shared" ref="C7:F7" si="4">C6</f>
        <v>492256</v>
      </c>
      <c r="D7" s="8">
        <f t="shared" si="4"/>
        <v>7600</v>
      </c>
      <c r="E7" s="8">
        <f t="shared" si="4"/>
        <v>3360</v>
      </c>
      <c r="F7" s="8">
        <f t="shared" si="4"/>
        <v>8000</v>
      </c>
    </row>
    <row r="8">
      <c r="A8" s="3">
        <v>202106.0</v>
      </c>
      <c r="B8" s="6">
        <f>B7-'消费总计2021'!M30-23956+160000+3000*16</f>
        <v>214979.66</v>
      </c>
      <c r="C8" s="8">
        <f t="shared" ref="C8:F8" si="5">C7</f>
        <v>492256</v>
      </c>
      <c r="D8" s="8">
        <f t="shared" si="5"/>
        <v>7600</v>
      </c>
      <c r="E8" s="8">
        <f t="shared" si="5"/>
        <v>3360</v>
      </c>
      <c r="F8" s="8">
        <f t="shared" si="5"/>
        <v>8000</v>
      </c>
    </row>
    <row r="9">
      <c r="A9" s="3">
        <v>202107.0</v>
      </c>
      <c r="B9" s="6">
        <f>B8-'消费总计2021'!M35-11579-12000</f>
        <v>179821.28</v>
      </c>
      <c r="C9" s="8">
        <f t="shared" ref="C9:F9" si="6">C8</f>
        <v>492256</v>
      </c>
      <c r="D9" s="8">
        <f t="shared" si="6"/>
        <v>7600</v>
      </c>
      <c r="E9" s="8">
        <f t="shared" si="6"/>
        <v>3360</v>
      </c>
      <c r="F9" s="8">
        <f t="shared" si="6"/>
        <v>8000</v>
      </c>
    </row>
    <row r="10">
      <c r="A10" s="3">
        <v>202108.0</v>
      </c>
      <c r="B10" s="6">
        <f>B9-'消费总计2021'!M40</f>
        <v>157708.58</v>
      </c>
      <c r="C10" s="8">
        <f t="shared" ref="C10:F10" si="7">C9</f>
        <v>492256</v>
      </c>
      <c r="D10" s="8">
        <f t="shared" si="7"/>
        <v>7600</v>
      </c>
      <c r="E10" s="8">
        <f t="shared" si="7"/>
        <v>3360</v>
      </c>
      <c r="F10" s="8">
        <f t="shared" si="7"/>
        <v>8000</v>
      </c>
    </row>
    <row r="11">
      <c r="A11" s="3">
        <v>202109.0</v>
      </c>
      <c r="B11" s="6">
        <f>B10-'消费总计2021'!M45-6400</f>
        <v>69148.58</v>
      </c>
      <c r="C11" s="8">
        <f t="shared" ref="C11:F11" si="8">C10</f>
        <v>492256</v>
      </c>
      <c r="D11" s="8">
        <f t="shared" si="8"/>
        <v>7600</v>
      </c>
      <c r="E11" s="8">
        <f t="shared" si="8"/>
        <v>3360</v>
      </c>
      <c r="F11" s="8">
        <f t="shared" si="8"/>
        <v>8000</v>
      </c>
    </row>
    <row r="12">
      <c r="A12" s="3">
        <v>202110.0</v>
      </c>
      <c r="B12" s="6">
        <f>B11-'消费总计2021'!M50-5000</f>
        <v>31572.36</v>
      </c>
      <c r="C12" s="8">
        <f t="shared" ref="C12:F12" si="9">C11</f>
        <v>492256</v>
      </c>
      <c r="D12" s="8">
        <f t="shared" si="9"/>
        <v>7600</v>
      </c>
      <c r="E12" s="8">
        <f t="shared" si="9"/>
        <v>3360</v>
      </c>
      <c r="F12" s="8">
        <f t="shared" si="9"/>
        <v>8000</v>
      </c>
    </row>
    <row r="13">
      <c r="A13" s="3">
        <v>202111.0</v>
      </c>
      <c r="B13" s="6">
        <f>B12-'消费总计2021'!M55</f>
        <v>31572.36</v>
      </c>
      <c r="C13" s="5"/>
      <c r="D13" s="5"/>
      <c r="E13" s="5"/>
      <c r="F13" s="5"/>
    </row>
    <row r="14">
      <c r="A14" s="3">
        <v>202112.0</v>
      </c>
      <c r="B14" s="6">
        <f>B13-'消费总计2021'!M60</f>
        <v>31572.36</v>
      </c>
      <c r="C14" s="5"/>
      <c r="D14" s="5"/>
      <c r="E14" s="5"/>
      <c r="F14" s="5"/>
    </row>
    <row r="15">
      <c r="A15" s="3"/>
      <c r="B15" s="5"/>
      <c r="C15" s="5"/>
      <c r="D15" s="5"/>
      <c r="E15" s="5"/>
      <c r="F15" s="5"/>
    </row>
    <row r="16">
      <c r="A16" s="3"/>
      <c r="B16" s="5"/>
      <c r="C16" s="5"/>
      <c r="D16" s="9"/>
      <c r="E16" s="5"/>
      <c r="F16" s="5"/>
    </row>
    <row r="17">
      <c r="A17" s="1"/>
      <c r="B17" s="5"/>
      <c r="C17" s="5"/>
      <c r="D17" s="5"/>
      <c r="E17" s="5"/>
      <c r="F17" s="5"/>
    </row>
    <row r="18">
      <c r="A18" s="1"/>
      <c r="B18" s="5"/>
      <c r="C18" s="5"/>
      <c r="D18" s="5"/>
      <c r="E18" s="5"/>
      <c r="F18" s="5"/>
    </row>
    <row r="19">
      <c r="A19" s="1"/>
      <c r="B19" s="5"/>
      <c r="C19" s="5"/>
      <c r="D19" s="5"/>
      <c r="E19" s="5"/>
      <c r="F19" s="5"/>
    </row>
    <row r="20">
      <c r="A20" s="1"/>
      <c r="B20" s="5"/>
      <c r="C20" s="5"/>
      <c r="D20" s="5"/>
      <c r="E20" s="5"/>
      <c r="F20" s="5"/>
    </row>
    <row r="21">
      <c r="A21" s="1"/>
      <c r="B21" s="5"/>
      <c r="C21" s="5"/>
      <c r="D21" s="5"/>
      <c r="E21" s="5"/>
      <c r="F21" s="5"/>
    </row>
    <row r="22">
      <c r="A22" s="1"/>
      <c r="B22" s="5"/>
      <c r="C22" s="5"/>
      <c r="D22" s="5"/>
      <c r="E22" s="5"/>
      <c r="F22" s="5"/>
    </row>
    <row r="23">
      <c r="A23" s="1"/>
      <c r="B23" s="5"/>
      <c r="C23" s="5"/>
      <c r="D23" s="5"/>
      <c r="E23" s="5"/>
      <c r="F23" s="5"/>
    </row>
    <row r="24">
      <c r="A24" s="1"/>
      <c r="B24" s="5"/>
      <c r="C24" s="5"/>
      <c r="D24" s="5"/>
      <c r="E24" s="5"/>
      <c r="F24" s="5"/>
    </row>
    <row r="25">
      <c r="A25" s="1"/>
      <c r="B25" s="5"/>
      <c r="C25" s="5"/>
      <c r="D25" s="5"/>
      <c r="E25" s="5"/>
      <c r="F25" s="5"/>
    </row>
    <row r="26">
      <c r="A26" s="1"/>
      <c r="B26" s="5"/>
      <c r="C26" s="5"/>
      <c r="D26" s="5"/>
      <c r="E26" s="5"/>
      <c r="F26" s="5"/>
    </row>
    <row r="27">
      <c r="A27" s="1"/>
      <c r="B27" s="5"/>
      <c r="C27" s="5"/>
      <c r="D27" s="5"/>
      <c r="E27" s="5"/>
      <c r="F27" s="5"/>
    </row>
    <row r="28">
      <c r="A28" s="1"/>
      <c r="B28" s="5"/>
      <c r="C28" s="5"/>
      <c r="D28" s="5"/>
      <c r="E28" s="5"/>
      <c r="F28" s="5"/>
    </row>
    <row r="29">
      <c r="A29" s="1"/>
      <c r="B29" s="5"/>
      <c r="C29" s="5"/>
      <c r="D29" s="5"/>
      <c r="E29" s="5"/>
      <c r="F29" s="5"/>
    </row>
    <row r="30">
      <c r="A30" s="1"/>
      <c r="B30" s="5"/>
      <c r="C30" s="5"/>
      <c r="D30" s="5"/>
      <c r="E30" s="5"/>
      <c r="F30" s="5"/>
    </row>
    <row r="31">
      <c r="A31" s="1"/>
      <c r="B31" s="5"/>
      <c r="C31" s="5"/>
      <c r="D31" s="5"/>
      <c r="E31" s="5"/>
      <c r="F31" s="5"/>
    </row>
    <row r="32">
      <c r="A32" s="1"/>
      <c r="B32" s="5"/>
      <c r="C32" s="5"/>
      <c r="D32" s="5"/>
      <c r="E32" s="5"/>
      <c r="F32" s="5"/>
    </row>
    <row r="33">
      <c r="A33" s="1"/>
      <c r="B33" s="5"/>
      <c r="C33" s="5"/>
      <c r="D33" s="5"/>
      <c r="E33" s="5"/>
      <c r="F33" s="5"/>
    </row>
    <row r="34">
      <c r="A34" s="1"/>
      <c r="B34" s="5"/>
      <c r="C34" s="5"/>
      <c r="D34" s="5"/>
      <c r="E34" s="5"/>
      <c r="F34" s="5"/>
    </row>
    <row r="35">
      <c r="A35" s="1"/>
      <c r="B35" s="5"/>
      <c r="C35" s="5"/>
      <c r="D35" s="5"/>
      <c r="E35" s="5"/>
      <c r="F35" s="5"/>
    </row>
    <row r="36">
      <c r="A36" s="1"/>
      <c r="B36" s="5"/>
      <c r="C36" s="5"/>
      <c r="D36" s="5"/>
      <c r="E36" s="5"/>
      <c r="F36" s="5"/>
    </row>
    <row r="37">
      <c r="A37" s="1"/>
      <c r="B37" s="5"/>
      <c r="C37" s="5"/>
      <c r="D37" s="5"/>
      <c r="E37" s="5"/>
      <c r="F37" s="5"/>
    </row>
    <row r="38">
      <c r="A38" s="1"/>
      <c r="B38" s="5"/>
      <c r="C38" s="5"/>
      <c r="D38" s="5"/>
      <c r="E38" s="5"/>
      <c r="F38" s="5"/>
    </row>
    <row r="39">
      <c r="A39" s="1"/>
      <c r="B39" s="5"/>
      <c r="C39" s="5"/>
      <c r="D39" s="5"/>
      <c r="E39" s="5"/>
      <c r="F39" s="5"/>
    </row>
    <row r="40">
      <c r="A40" s="1"/>
      <c r="B40" s="5"/>
      <c r="C40" s="5"/>
      <c r="D40" s="5"/>
      <c r="E40" s="5"/>
      <c r="F40" s="5"/>
    </row>
    <row r="41">
      <c r="A41" s="1"/>
      <c r="B41" s="5"/>
      <c r="C41" s="5"/>
      <c r="D41" s="5"/>
      <c r="E41" s="5"/>
      <c r="F41" s="5"/>
    </row>
    <row r="42">
      <c r="A42" s="1"/>
      <c r="B42" s="5"/>
      <c r="C42" s="5"/>
      <c r="D42" s="5"/>
      <c r="E42" s="5"/>
      <c r="F42" s="5"/>
    </row>
    <row r="43">
      <c r="A43" s="1"/>
      <c r="B43" s="5"/>
      <c r="C43" s="5"/>
      <c r="D43" s="5"/>
      <c r="E43" s="5"/>
      <c r="F43" s="5"/>
    </row>
    <row r="44">
      <c r="A44" s="1"/>
      <c r="B44" s="5"/>
      <c r="C44" s="5"/>
      <c r="D44" s="5"/>
      <c r="E44" s="5"/>
      <c r="F44" s="5"/>
    </row>
    <row r="45">
      <c r="A45" s="1"/>
      <c r="B45" s="5"/>
      <c r="C45" s="5"/>
      <c r="D45" s="5"/>
      <c r="E45" s="5"/>
      <c r="F45" s="5"/>
    </row>
    <row r="46">
      <c r="A46" s="1"/>
      <c r="B46" s="5"/>
      <c r="C46" s="5"/>
      <c r="D46" s="5"/>
      <c r="E46" s="5"/>
      <c r="F46" s="5"/>
    </row>
    <row r="47">
      <c r="A47" s="1"/>
      <c r="B47" s="5"/>
      <c r="C47" s="5"/>
      <c r="D47" s="5"/>
      <c r="E47" s="5"/>
      <c r="F47" s="5"/>
    </row>
    <row r="48">
      <c r="A48" s="1"/>
      <c r="B48" s="5"/>
      <c r="C48" s="5"/>
      <c r="D48" s="5"/>
      <c r="E48" s="5"/>
      <c r="F48" s="5"/>
    </row>
    <row r="49">
      <c r="A49" s="1"/>
      <c r="B49" s="5"/>
      <c r="C49" s="5"/>
      <c r="D49" s="5"/>
      <c r="E49" s="5"/>
      <c r="F49" s="5"/>
    </row>
    <row r="50">
      <c r="A50" s="1"/>
      <c r="B50" s="5"/>
      <c r="C50" s="5"/>
      <c r="D50" s="5"/>
      <c r="E50" s="5"/>
      <c r="F50" s="5"/>
    </row>
    <row r="51">
      <c r="A51" s="1"/>
      <c r="B51" s="5"/>
      <c r="C51" s="5"/>
      <c r="D51" s="5"/>
      <c r="E51" s="5"/>
      <c r="F51" s="5"/>
    </row>
    <row r="52">
      <c r="A52" s="1"/>
      <c r="B52" s="5"/>
      <c r="C52" s="5"/>
      <c r="D52" s="5"/>
      <c r="E52" s="5"/>
      <c r="F52" s="5"/>
    </row>
    <row r="53">
      <c r="A53" s="1"/>
      <c r="B53" s="5"/>
      <c r="C53" s="5"/>
      <c r="D53" s="5"/>
      <c r="E53" s="5"/>
      <c r="F53" s="5"/>
    </row>
    <row r="54">
      <c r="A54" s="1"/>
      <c r="B54" s="5"/>
      <c r="C54" s="5"/>
      <c r="D54" s="5"/>
      <c r="E54" s="5"/>
      <c r="F54" s="5"/>
    </row>
    <row r="55">
      <c r="A55" s="1"/>
      <c r="B55" s="5"/>
      <c r="C55" s="5"/>
      <c r="D55" s="5"/>
      <c r="E55" s="5"/>
      <c r="F55" s="5"/>
    </row>
    <row r="56">
      <c r="A56" s="1"/>
      <c r="B56" s="5"/>
      <c r="C56" s="5"/>
      <c r="D56" s="5"/>
      <c r="E56" s="5"/>
      <c r="F56" s="5"/>
    </row>
    <row r="57">
      <c r="A57" s="1"/>
      <c r="B57" s="5"/>
      <c r="C57" s="5"/>
      <c r="D57" s="5"/>
      <c r="E57" s="5"/>
      <c r="F57" s="5"/>
    </row>
    <row r="58">
      <c r="A58" s="1"/>
      <c r="B58" s="5"/>
      <c r="C58" s="5"/>
      <c r="D58" s="5"/>
      <c r="E58" s="5"/>
      <c r="F58" s="5"/>
    </row>
    <row r="59">
      <c r="A59" s="1"/>
      <c r="B59" s="5"/>
      <c r="C59" s="5"/>
      <c r="D59" s="5"/>
      <c r="E59" s="5"/>
      <c r="F59" s="5"/>
    </row>
    <row r="60">
      <c r="A60" s="1"/>
      <c r="B60" s="5"/>
      <c r="C60" s="5"/>
      <c r="D60" s="5"/>
      <c r="E60" s="5"/>
      <c r="F60" s="5"/>
    </row>
    <row r="61">
      <c r="A61" s="1"/>
      <c r="B61" s="5"/>
      <c r="C61" s="5"/>
      <c r="D61" s="5"/>
      <c r="E61" s="5"/>
      <c r="F61" s="5"/>
    </row>
    <row r="62">
      <c r="A62" s="1"/>
      <c r="B62" s="5"/>
      <c r="C62" s="5"/>
      <c r="D62" s="5"/>
      <c r="E62" s="5"/>
      <c r="F62" s="5"/>
    </row>
    <row r="63">
      <c r="A63" s="1"/>
      <c r="B63" s="5"/>
      <c r="C63" s="5"/>
      <c r="D63" s="5"/>
      <c r="E63" s="5"/>
      <c r="F63" s="5"/>
    </row>
    <row r="64">
      <c r="A64" s="1"/>
      <c r="B64" s="5"/>
      <c r="C64" s="5"/>
      <c r="D64" s="5"/>
      <c r="E64" s="5"/>
      <c r="F64" s="5"/>
    </row>
    <row r="65">
      <c r="A65" s="1"/>
      <c r="B65" s="5"/>
      <c r="C65" s="5"/>
      <c r="D65" s="5"/>
      <c r="E65" s="5"/>
      <c r="F65" s="5"/>
    </row>
    <row r="66">
      <c r="A66" s="1"/>
      <c r="B66" s="5"/>
      <c r="C66" s="5"/>
      <c r="D66" s="5"/>
      <c r="E66" s="5"/>
      <c r="F66" s="5"/>
    </row>
    <row r="67">
      <c r="A67" s="1"/>
      <c r="B67" s="5"/>
      <c r="C67" s="5"/>
      <c r="D67" s="5"/>
      <c r="E67" s="5"/>
      <c r="F67" s="5"/>
    </row>
    <row r="68">
      <c r="A68" s="1"/>
      <c r="B68" s="5"/>
      <c r="C68" s="5"/>
      <c r="D68" s="5"/>
      <c r="E68" s="5"/>
      <c r="F68" s="5"/>
    </row>
    <row r="69">
      <c r="A69" s="1"/>
      <c r="B69" s="5"/>
      <c r="C69" s="5"/>
      <c r="D69" s="5"/>
      <c r="E69" s="5"/>
      <c r="F69" s="5"/>
    </row>
    <row r="70">
      <c r="A70" s="1"/>
      <c r="B70" s="5"/>
      <c r="C70" s="5"/>
      <c r="D70" s="5"/>
      <c r="E70" s="5"/>
      <c r="F70" s="5"/>
    </row>
    <row r="71">
      <c r="A71" s="1"/>
      <c r="B71" s="5"/>
      <c r="C71" s="5"/>
      <c r="D71" s="5"/>
      <c r="E71" s="5"/>
      <c r="F71" s="5"/>
    </row>
    <row r="72">
      <c r="A72" s="1"/>
      <c r="B72" s="5"/>
      <c r="C72" s="5"/>
      <c r="D72" s="5"/>
      <c r="E72" s="5"/>
      <c r="F72" s="5"/>
    </row>
    <row r="73">
      <c r="A73" s="1"/>
      <c r="B73" s="5"/>
      <c r="C73" s="5"/>
      <c r="D73" s="5"/>
      <c r="E73" s="5"/>
      <c r="F73" s="5"/>
    </row>
    <row r="74">
      <c r="A74" s="1"/>
      <c r="B74" s="5"/>
      <c r="C74" s="5"/>
      <c r="D74" s="5"/>
      <c r="E74" s="5"/>
      <c r="F74" s="5"/>
    </row>
    <row r="75">
      <c r="A75" s="1"/>
      <c r="B75" s="5"/>
      <c r="C75" s="5"/>
      <c r="D75" s="5"/>
      <c r="E75" s="5"/>
      <c r="F75" s="5"/>
    </row>
    <row r="76">
      <c r="A76" s="1"/>
      <c r="B76" s="5"/>
      <c r="C76" s="5"/>
      <c r="D76" s="5"/>
      <c r="E76" s="5"/>
      <c r="F76" s="5"/>
    </row>
    <row r="77">
      <c r="A77" s="1"/>
      <c r="B77" s="5"/>
      <c r="C77" s="5"/>
      <c r="D77" s="5"/>
      <c r="E77" s="5"/>
      <c r="F77" s="5"/>
    </row>
    <row r="78">
      <c r="A78" s="1"/>
      <c r="B78" s="5"/>
      <c r="C78" s="5"/>
      <c r="D78" s="5"/>
      <c r="E78" s="5"/>
      <c r="F78" s="5"/>
    </row>
    <row r="79">
      <c r="A79" s="1"/>
      <c r="B79" s="5"/>
      <c r="C79" s="5"/>
      <c r="D79" s="5"/>
      <c r="E79" s="5"/>
      <c r="F79" s="5"/>
    </row>
    <row r="80">
      <c r="A80" s="1"/>
      <c r="B80" s="5"/>
      <c r="C80" s="5"/>
      <c r="D80" s="5"/>
      <c r="E80" s="5"/>
      <c r="F80" s="5"/>
    </row>
    <row r="81">
      <c r="A81" s="1"/>
      <c r="B81" s="5"/>
      <c r="C81" s="5"/>
      <c r="D81" s="5"/>
      <c r="E81" s="5"/>
      <c r="F81" s="5"/>
    </row>
    <row r="82">
      <c r="A82" s="1"/>
      <c r="B82" s="5"/>
      <c r="C82" s="5"/>
      <c r="D82" s="5"/>
      <c r="E82" s="5"/>
      <c r="F82" s="5"/>
    </row>
    <row r="83">
      <c r="A83" s="1"/>
      <c r="B83" s="5"/>
      <c r="C83" s="5"/>
      <c r="D83" s="5"/>
      <c r="E83" s="5"/>
      <c r="F83" s="5"/>
    </row>
    <row r="84">
      <c r="A84" s="1"/>
      <c r="B84" s="5"/>
      <c r="C84" s="5"/>
      <c r="D84" s="5"/>
      <c r="E84" s="5"/>
      <c r="F84" s="5"/>
    </row>
    <row r="85">
      <c r="A85" s="1"/>
      <c r="B85" s="5"/>
      <c r="C85" s="5"/>
      <c r="D85" s="5"/>
      <c r="E85" s="5"/>
      <c r="F85" s="5"/>
    </row>
    <row r="86">
      <c r="A86" s="1"/>
      <c r="B86" s="5"/>
      <c r="C86" s="5"/>
      <c r="D86" s="5"/>
      <c r="E86" s="5"/>
      <c r="F86" s="5"/>
    </row>
    <row r="87">
      <c r="A87" s="1"/>
      <c r="B87" s="5"/>
      <c r="C87" s="5"/>
      <c r="D87" s="5"/>
      <c r="E87" s="5"/>
      <c r="F87" s="5"/>
    </row>
    <row r="88">
      <c r="A88" s="1"/>
      <c r="B88" s="5"/>
      <c r="C88" s="5"/>
      <c r="D88" s="5"/>
      <c r="E88" s="5"/>
      <c r="F88" s="5"/>
    </row>
    <row r="89">
      <c r="A89" s="1"/>
      <c r="B89" s="5"/>
      <c r="C89" s="5"/>
      <c r="D89" s="5"/>
      <c r="E89" s="5"/>
      <c r="F89" s="5"/>
    </row>
    <row r="90">
      <c r="A90" s="1"/>
      <c r="B90" s="5"/>
      <c r="C90" s="5"/>
      <c r="D90" s="5"/>
      <c r="E90" s="5"/>
      <c r="F90" s="5"/>
    </row>
    <row r="91">
      <c r="A91" s="1"/>
      <c r="B91" s="5"/>
      <c r="C91" s="5"/>
      <c r="D91" s="5"/>
      <c r="E91" s="5"/>
      <c r="F91" s="5"/>
    </row>
    <row r="92">
      <c r="A92" s="1"/>
      <c r="B92" s="5"/>
      <c r="C92" s="5"/>
      <c r="D92" s="5"/>
      <c r="E92" s="5"/>
      <c r="F92" s="5"/>
    </row>
    <row r="93">
      <c r="A93" s="1"/>
      <c r="B93" s="5"/>
      <c r="C93" s="5"/>
      <c r="D93" s="5"/>
      <c r="E93" s="5"/>
      <c r="F93" s="5"/>
    </row>
    <row r="94">
      <c r="A94" s="1"/>
      <c r="B94" s="5"/>
      <c r="C94" s="5"/>
      <c r="D94" s="5"/>
      <c r="E94" s="5"/>
      <c r="F94" s="5"/>
    </row>
    <row r="95">
      <c r="A95" s="1"/>
      <c r="B95" s="5"/>
      <c r="C95" s="5"/>
      <c r="D95" s="5"/>
      <c r="E95" s="5"/>
      <c r="F95" s="5"/>
    </row>
    <row r="96">
      <c r="A96" s="1"/>
      <c r="B96" s="5"/>
      <c r="C96" s="5"/>
      <c r="D96" s="5"/>
      <c r="E96" s="5"/>
      <c r="F96" s="5"/>
    </row>
    <row r="97">
      <c r="A97" s="1"/>
      <c r="B97" s="5"/>
      <c r="C97" s="5"/>
      <c r="D97" s="5"/>
      <c r="E97" s="5"/>
      <c r="F97" s="5"/>
    </row>
    <row r="98">
      <c r="A98" s="1"/>
      <c r="B98" s="5"/>
      <c r="C98" s="5"/>
      <c r="D98" s="5"/>
      <c r="E98" s="5"/>
      <c r="F98" s="5"/>
    </row>
    <row r="99">
      <c r="A99" s="1"/>
      <c r="B99" s="5"/>
      <c r="C99" s="5"/>
      <c r="D99" s="5"/>
      <c r="E99" s="5"/>
      <c r="F99" s="5"/>
    </row>
    <row r="100">
      <c r="A100" s="1"/>
      <c r="B100" s="5"/>
      <c r="C100" s="5"/>
      <c r="D100" s="5"/>
      <c r="E100" s="5"/>
      <c r="F100" s="5"/>
    </row>
    <row r="101">
      <c r="A101" s="1"/>
      <c r="B101" s="5"/>
      <c r="C101" s="5"/>
      <c r="D101" s="5"/>
      <c r="E101" s="5"/>
      <c r="F101" s="5"/>
    </row>
    <row r="102">
      <c r="A102" s="1"/>
      <c r="B102" s="5"/>
      <c r="C102" s="5"/>
      <c r="D102" s="5"/>
      <c r="E102" s="5"/>
      <c r="F102" s="5"/>
    </row>
    <row r="103">
      <c r="A103" s="1"/>
      <c r="B103" s="5"/>
      <c r="C103" s="5"/>
      <c r="D103" s="5"/>
      <c r="E103" s="5"/>
      <c r="F103" s="5"/>
    </row>
    <row r="104">
      <c r="A104" s="1"/>
      <c r="B104" s="5"/>
      <c r="C104" s="5"/>
      <c r="D104" s="5"/>
      <c r="E104" s="5"/>
      <c r="F104" s="5"/>
    </row>
    <row r="105">
      <c r="A105" s="1"/>
      <c r="B105" s="5"/>
      <c r="C105" s="5"/>
      <c r="D105" s="5"/>
      <c r="E105" s="5"/>
      <c r="F105" s="5"/>
    </row>
    <row r="106">
      <c r="A106" s="1"/>
      <c r="B106" s="5"/>
      <c r="C106" s="5"/>
      <c r="D106" s="5"/>
      <c r="E106" s="5"/>
      <c r="F106" s="5"/>
    </row>
    <row r="107">
      <c r="A107" s="1"/>
      <c r="B107" s="5"/>
      <c r="C107" s="5"/>
      <c r="D107" s="5"/>
      <c r="E107" s="5"/>
      <c r="F107" s="5"/>
    </row>
    <row r="108">
      <c r="A108" s="1"/>
      <c r="B108" s="5"/>
      <c r="C108" s="5"/>
      <c r="D108" s="5"/>
      <c r="E108" s="5"/>
      <c r="F108" s="5"/>
    </row>
    <row r="109">
      <c r="A109" s="1"/>
      <c r="B109" s="5"/>
      <c r="C109" s="5"/>
      <c r="D109" s="5"/>
      <c r="E109" s="5"/>
      <c r="F109" s="5"/>
    </row>
    <row r="110">
      <c r="A110" s="1"/>
      <c r="B110" s="5"/>
      <c r="C110" s="5"/>
      <c r="D110" s="5"/>
      <c r="E110" s="5"/>
      <c r="F110" s="5"/>
    </row>
    <row r="111">
      <c r="A111" s="1"/>
      <c r="B111" s="5"/>
      <c r="C111" s="5"/>
      <c r="D111" s="5"/>
      <c r="E111" s="5"/>
      <c r="F111" s="5"/>
    </row>
    <row r="112">
      <c r="A112" s="1"/>
      <c r="B112" s="5"/>
      <c r="C112" s="5"/>
      <c r="D112" s="5"/>
      <c r="E112" s="5"/>
      <c r="F112" s="5"/>
    </row>
    <row r="113">
      <c r="A113" s="1"/>
      <c r="B113" s="5"/>
      <c r="C113" s="5"/>
      <c r="D113" s="5"/>
      <c r="E113" s="5"/>
      <c r="F113" s="5"/>
    </row>
    <row r="114">
      <c r="A114" s="1"/>
      <c r="B114" s="5"/>
      <c r="C114" s="5"/>
      <c r="D114" s="5"/>
      <c r="E114" s="5"/>
      <c r="F114" s="5"/>
    </row>
    <row r="115">
      <c r="A115" s="1"/>
      <c r="B115" s="5"/>
      <c r="C115" s="5"/>
      <c r="D115" s="5"/>
      <c r="E115" s="5"/>
      <c r="F115" s="5"/>
    </row>
    <row r="116">
      <c r="A116" s="1"/>
      <c r="B116" s="5"/>
      <c r="C116" s="5"/>
      <c r="D116" s="5"/>
      <c r="E116" s="5"/>
      <c r="F116" s="5"/>
    </row>
    <row r="117">
      <c r="A117" s="1"/>
      <c r="B117" s="5"/>
      <c r="C117" s="5"/>
      <c r="D117" s="5"/>
      <c r="E117" s="5"/>
      <c r="F117" s="5"/>
    </row>
    <row r="118">
      <c r="A118" s="1"/>
      <c r="B118" s="5"/>
      <c r="C118" s="5"/>
      <c r="D118" s="5"/>
      <c r="E118" s="5"/>
      <c r="F118" s="5"/>
    </row>
    <row r="119">
      <c r="A119" s="1"/>
      <c r="B119" s="5"/>
      <c r="C119" s="5"/>
      <c r="D119" s="5"/>
      <c r="E119" s="5"/>
      <c r="F119" s="5"/>
    </row>
    <row r="120">
      <c r="A120" s="1"/>
      <c r="B120" s="5"/>
      <c r="C120" s="5"/>
      <c r="D120" s="5"/>
      <c r="E120" s="5"/>
      <c r="F120" s="5"/>
    </row>
    <row r="121">
      <c r="A121" s="1"/>
      <c r="B121" s="5"/>
      <c r="C121" s="5"/>
      <c r="D121" s="5"/>
      <c r="E121" s="5"/>
      <c r="F121" s="5"/>
    </row>
    <row r="122">
      <c r="A122" s="1"/>
      <c r="B122" s="5"/>
      <c r="C122" s="5"/>
      <c r="D122" s="5"/>
      <c r="E122" s="5"/>
      <c r="F122" s="5"/>
    </row>
    <row r="123">
      <c r="A123" s="1"/>
      <c r="B123" s="5"/>
      <c r="C123" s="5"/>
      <c r="D123" s="5"/>
      <c r="E123" s="5"/>
      <c r="F123" s="5"/>
    </row>
    <row r="124">
      <c r="A124" s="1"/>
      <c r="B124" s="5"/>
      <c r="C124" s="5"/>
      <c r="D124" s="5"/>
      <c r="E124" s="5"/>
      <c r="F124" s="5"/>
    </row>
    <row r="125">
      <c r="A125" s="1"/>
      <c r="B125" s="5"/>
      <c r="C125" s="5"/>
      <c r="D125" s="5"/>
      <c r="E125" s="5"/>
      <c r="F125" s="5"/>
    </row>
    <row r="126">
      <c r="A126" s="1"/>
      <c r="B126" s="5"/>
      <c r="C126" s="5"/>
      <c r="D126" s="5"/>
      <c r="E126" s="5"/>
      <c r="F126" s="5"/>
    </row>
    <row r="127">
      <c r="A127" s="1"/>
      <c r="B127" s="5"/>
      <c r="C127" s="5"/>
      <c r="D127" s="5"/>
      <c r="E127" s="5"/>
      <c r="F127" s="5"/>
    </row>
    <row r="128">
      <c r="A128" s="1"/>
      <c r="B128" s="5"/>
      <c r="C128" s="5"/>
      <c r="D128" s="5"/>
      <c r="E128" s="5"/>
      <c r="F128" s="5"/>
    </row>
    <row r="129">
      <c r="A129" s="1"/>
      <c r="B129" s="5"/>
      <c r="C129" s="5"/>
      <c r="D129" s="5"/>
      <c r="E129" s="5"/>
      <c r="F129" s="5"/>
    </row>
    <row r="130">
      <c r="A130" s="1"/>
      <c r="B130" s="5"/>
      <c r="C130" s="5"/>
      <c r="D130" s="5"/>
      <c r="E130" s="5"/>
      <c r="F130" s="5"/>
    </row>
    <row r="131">
      <c r="A131" s="1"/>
      <c r="B131" s="5"/>
      <c r="C131" s="5"/>
      <c r="D131" s="5"/>
      <c r="E131" s="5"/>
      <c r="F131" s="5"/>
    </row>
    <row r="132">
      <c r="A132" s="1"/>
      <c r="B132" s="5"/>
      <c r="C132" s="5"/>
      <c r="D132" s="5"/>
      <c r="E132" s="5"/>
      <c r="F132" s="5"/>
    </row>
    <row r="133">
      <c r="A133" s="1"/>
      <c r="B133" s="5"/>
      <c r="C133" s="5"/>
      <c r="D133" s="5"/>
      <c r="E133" s="5"/>
      <c r="F133" s="5"/>
    </row>
    <row r="134">
      <c r="A134" s="1"/>
      <c r="B134" s="5"/>
      <c r="C134" s="5"/>
      <c r="D134" s="5"/>
      <c r="E134" s="5"/>
      <c r="F134" s="5"/>
    </row>
    <row r="135">
      <c r="A135" s="1"/>
      <c r="B135" s="5"/>
      <c r="C135" s="5"/>
      <c r="D135" s="5"/>
      <c r="E135" s="5"/>
      <c r="F135" s="5"/>
    </row>
    <row r="136">
      <c r="A136" s="1"/>
      <c r="B136" s="5"/>
      <c r="C136" s="5"/>
      <c r="D136" s="5"/>
      <c r="E136" s="5"/>
      <c r="F136" s="5"/>
    </row>
    <row r="137">
      <c r="A137" s="1"/>
      <c r="B137" s="5"/>
      <c r="C137" s="5"/>
      <c r="D137" s="5"/>
      <c r="E137" s="5"/>
      <c r="F137" s="5"/>
    </row>
    <row r="138">
      <c r="A138" s="1"/>
      <c r="B138" s="5"/>
      <c r="C138" s="5"/>
      <c r="D138" s="5"/>
      <c r="E138" s="5"/>
      <c r="F138" s="5"/>
    </row>
    <row r="139">
      <c r="A139" s="1"/>
      <c r="B139" s="5"/>
      <c r="C139" s="5"/>
      <c r="D139" s="5"/>
      <c r="E139" s="5"/>
      <c r="F139" s="5"/>
    </row>
    <row r="140">
      <c r="A140" s="1"/>
      <c r="B140" s="5"/>
      <c r="C140" s="5"/>
      <c r="D140" s="5"/>
      <c r="E140" s="5"/>
      <c r="F140" s="5"/>
    </row>
    <row r="141">
      <c r="A141" s="1"/>
      <c r="B141" s="5"/>
      <c r="C141" s="5"/>
      <c r="D141" s="5"/>
      <c r="E141" s="5"/>
      <c r="F141" s="5"/>
    </row>
    <row r="142">
      <c r="A142" s="1"/>
      <c r="B142" s="5"/>
      <c r="C142" s="5"/>
      <c r="D142" s="5"/>
      <c r="E142" s="5"/>
      <c r="F142" s="5"/>
    </row>
    <row r="143">
      <c r="A143" s="1"/>
      <c r="B143" s="5"/>
      <c r="C143" s="5"/>
      <c r="D143" s="5"/>
      <c r="E143" s="5"/>
      <c r="F143" s="5"/>
    </row>
    <row r="144">
      <c r="A144" s="1"/>
      <c r="B144" s="5"/>
      <c r="C144" s="5"/>
      <c r="D144" s="5"/>
      <c r="E144" s="5"/>
      <c r="F144" s="5"/>
    </row>
    <row r="145">
      <c r="A145" s="1"/>
      <c r="B145" s="5"/>
      <c r="C145" s="5"/>
      <c r="D145" s="5"/>
      <c r="E145" s="5"/>
      <c r="F145" s="5"/>
    </row>
    <row r="146">
      <c r="A146" s="1"/>
      <c r="B146" s="5"/>
      <c r="C146" s="5"/>
      <c r="D146" s="5"/>
      <c r="E146" s="5"/>
      <c r="F146" s="5"/>
    </row>
    <row r="147">
      <c r="A147" s="1"/>
      <c r="B147" s="5"/>
      <c r="C147" s="5"/>
      <c r="D147" s="5"/>
      <c r="E147" s="5"/>
      <c r="F147" s="5"/>
    </row>
    <row r="148">
      <c r="A148" s="1"/>
      <c r="B148" s="5"/>
      <c r="C148" s="5"/>
      <c r="D148" s="5"/>
      <c r="E148" s="5"/>
      <c r="F148" s="5"/>
    </row>
    <row r="149">
      <c r="A149" s="1"/>
      <c r="B149" s="5"/>
      <c r="C149" s="5"/>
      <c r="D149" s="5"/>
      <c r="E149" s="5"/>
      <c r="F149" s="5"/>
    </row>
    <row r="150">
      <c r="A150" s="1"/>
      <c r="B150" s="5"/>
      <c r="C150" s="5"/>
      <c r="D150" s="5"/>
      <c r="E150" s="5"/>
      <c r="F150" s="5"/>
    </row>
    <row r="151">
      <c r="A151" s="1"/>
      <c r="B151" s="5"/>
      <c r="C151" s="5"/>
      <c r="D151" s="5"/>
      <c r="E151" s="5"/>
      <c r="F151" s="5"/>
    </row>
    <row r="152">
      <c r="A152" s="1"/>
      <c r="B152" s="5"/>
      <c r="C152" s="5"/>
      <c r="D152" s="5"/>
      <c r="E152" s="5"/>
      <c r="F152" s="5"/>
    </row>
    <row r="153">
      <c r="A153" s="1"/>
      <c r="B153" s="5"/>
      <c r="C153" s="5"/>
      <c r="D153" s="5"/>
      <c r="E153" s="5"/>
      <c r="F153" s="5"/>
    </row>
    <row r="154">
      <c r="A154" s="1"/>
      <c r="B154" s="5"/>
      <c r="C154" s="5"/>
      <c r="D154" s="5"/>
      <c r="E154" s="5"/>
      <c r="F154" s="5"/>
    </row>
    <row r="155">
      <c r="A155" s="1"/>
      <c r="B155" s="5"/>
      <c r="C155" s="5"/>
      <c r="D155" s="5"/>
      <c r="E155" s="5"/>
      <c r="F155" s="5"/>
    </row>
    <row r="156">
      <c r="A156" s="1"/>
      <c r="B156" s="5"/>
      <c r="C156" s="5"/>
      <c r="D156" s="5"/>
      <c r="E156" s="5"/>
      <c r="F156" s="5"/>
    </row>
    <row r="157">
      <c r="A157" s="1"/>
      <c r="B157" s="5"/>
      <c r="C157" s="5"/>
      <c r="D157" s="5"/>
      <c r="E157" s="5"/>
      <c r="F157" s="5"/>
    </row>
    <row r="158">
      <c r="A158" s="1"/>
      <c r="B158" s="5"/>
      <c r="C158" s="5"/>
      <c r="D158" s="5"/>
      <c r="E158" s="5"/>
      <c r="F158" s="5"/>
    </row>
    <row r="159">
      <c r="A159" s="1"/>
      <c r="B159" s="5"/>
      <c r="C159" s="5"/>
      <c r="D159" s="5"/>
      <c r="E159" s="5"/>
      <c r="F159" s="5"/>
    </row>
    <row r="160">
      <c r="A160" s="1"/>
      <c r="B160" s="5"/>
      <c r="C160" s="5"/>
      <c r="D160" s="5"/>
      <c r="E160" s="5"/>
      <c r="F160" s="5"/>
    </row>
    <row r="161">
      <c r="A161" s="1"/>
      <c r="B161" s="5"/>
      <c r="C161" s="5"/>
      <c r="D161" s="5"/>
      <c r="E161" s="5"/>
      <c r="F161" s="5"/>
    </row>
    <row r="162">
      <c r="A162" s="1"/>
      <c r="B162" s="5"/>
      <c r="C162" s="5"/>
      <c r="D162" s="5"/>
      <c r="E162" s="5"/>
      <c r="F162" s="5"/>
    </row>
    <row r="163">
      <c r="A163" s="1"/>
      <c r="B163" s="5"/>
      <c r="C163" s="5"/>
      <c r="D163" s="5"/>
      <c r="E163" s="5"/>
      <c r="F163" s="5"/>
    </row>
    <row r="164">
      <c r="A164" s="1"/>
      <c r="B164" s="5"/>
      <c r="C164" s="5"/>
      <c r="D164" s="5"/>
      <c r="E164" s="5"/>
      <c r="F164" s="5"/>
    </row>
    <row r="165">
      <c r="A165" s="1"/>
      <c r="B165" s="5"/>
      <c r="C165" s="5"/>
      <c r="D165" s="5"/>
      <c r="E165" s="5"/>
      <c r="F165" s="5"/>
    </row>
    <row r="166">
      <c r="A166" s="1"/>
      <c r="B166" s="5"/>
      <c r="C166" s="5"/>
      <c r="D166" s="5"/>
      <c r="E166" s="5"/>
      <c r="F166" s="5"/>
    </row>
    <row r="167">
      <c r="A167" s="1"/>
      <c r="B167" s="5"/>
      <c r="C167" s="5"/>
      <c r="D167" s="5"/>
      <c r="E167" s="5"/>
      <c r="F167" s="5"/>
    </row>
    <row r="168">
      <c r="A168" s="1"/>
      <c r="B168" s="5"/>
      <c r="C168" s="5"/>
      <c r="D168" s="5"/>
      <c r="E168" s="5"/>
      <c r="F168" s="5"/>
    </row>
    <row r="169">
      <c r="A169" s="1"/>
      <c r="B169" s="5"/>
      <c r="C169" s="5"/>
      <c r="D169" s="5"/>
      <c r="E169" s="5"/>
      <c r="F169" s="5"/>
    </row>
    <row r="170">
      <c r="A170" s="1"/>
      <c r="B170" s="5"/>
      <c r="C170" s="5"/>
      <c r="D170" s="5"/>
      <c r="E170" s="5"/>
      <c r="F170" s="5"/>
    </row>
    <row r="171">
      <c r="A171" s="1"/>
      <c r="B171" s="5"/>
      <c r="C171" s="5"/>
      <c r="D171" s="5"/>
      <c r="E171" s="5"/>
      <c r="F171" s="5"/>
    </row>
    <row r="172">
      <c r="A172" s="1"/>
      <c r="B172" s="5"/>
      <c r="C172" s="5"/>
      <c r="D172" s="5"/>
      <c r="E172" s="5"/>
      <c r="F172" s="5"/>
    </row>
    <row r="173">
      <c r="A173" s="1"/>
      <c r="B173" s="5"/>
      <c r="C173" s="5"/>
      <c r="D173" s="5"/>
      <c r="E173" s="5"/>
      <c r="F173" s="5"/>
    </row>
    <row r="174">
      <c r="A174" s="1"/>
      <c r="B174" s="5"/>
      <c r="C174" s="5"/>
      <c r="D174" s="5"/>
      <c r="E174" s="5"/>
      <c r="F174" s="5"/>
    </row>
    <row r="175">
      <c r="A175" s="1"/>
      <c r="B175" s="5"/>
      <c r="C175" s="5"/>
      <c r="D175" s="5"/>
      <c r="E175" s="5"/>
      <c r="F175" s="5"/>
    </row>
    <row r="176">
      <c r="A176" s="1"/>
      <c r="B176" s="5"/>
      <c r="C176" s="5"/>
      <c r="D176" s="5"/>
      <c r="E176" s="5"/>
      <c r="F176" s="5"/>
    </row>
    <row r="177">
      <c r="A177" s="1"/>
      <c r="B177" s="5"/>
      <c r="C177" s="5"/>
      <c r="D177" s="5"/>
      <c r="E177" s="5"/>
      <c r="F177" s="5"/>
    </row>
    <row r="178">
      <c r="A178" s="1"/>
      <c r="B178" s="5"/>
      <c r="C178" s="5"/>
      <c r="D178" s="5"/>
      <c r="E178" s="5"/>
      <c r="F178" s="5"/>
    </row>
    <row r="179">
      <c r="A179" s="1"/>
      <c r="B179" s="5"/>
      <c r="C179" s="5"/>
      <c r="D179" s="5"/>
      <c r="E179" s="5"/>
      <c r="F179" s="5"/>
    </row>
    <row r="180">
      <c r="A180" s="1"/>
      <c r="B180" s="5"/>
      <c r="C180" s="5"/>
      <c r="D180" s="5"/>
      <c r="E180" s="5"/>
      <c r="F180" s="5"/>
    </row>
    <row r="181">
      <c r="A181" s="1"/>
      <c r="B181" s="5"/>
      <c r="C181" s="5"/>
      <c r="D181" s="5"/>
      <c r="E181" s="5"/>
      <c r="F181" s="5"/>
    </row>
    <row r="182">
      <c r="A182" s="1"/>
      <c r="B182" s="5"/>
      <c r="C182" s="5"/>
      <c r="D182" s="5"/>
      <c r="E182" s="5"/>
      <c r="F182" s="5"/>
    </row>
    <row r="183">
      <c r="A183" s="1"/>
      <c r="B183" s="5"/>
      <c r="C183" s="5"/>
      <c r="D183" s="5"/>
      <c r="E183" s="5"/>
      <c r="F183" s="5"/>
    </row>
    <row r="184">
      <c r="A184" s="1"/>
      <c r="B184" s="5"/>
      <c r="C184" s="5"/>
      <c r="D184" s="5"/>
      <c r="E184" s="5"/>
      <c r="F184" s="5"/>
    </row>
    <row r="185">
      <c r="A185" s="1"/>
      <c r="B185" s="5"/>
      <c r="C185" s="5"/>
      <c r="D185" s="5"/>
      <c r="E185" s="5"/>
      <c r="F185" s="5"/>
    </row>
    <row r="186">
      <c r="A186" s="1"/>
      <c r="B186" s="5"/>
      <c r="C186" s="5"/>
      <c r="D186" s="5"/>
      <c r="E186" s="5"/>
      <c r="F186" s="5"/>
    </row>
    <row r="187">
      <c r="A187" s="1"/>
      <c r="B187" s="5"/>
      <c r="C187" s="5"/>
      <c r="D187" s="5"/>
      <c r="E187" s="5"/>
      <c r="F187" s="5"/>
    </row>
    <row r="188">
      <c r="A188" s="1"/>
      <c r="B188" s="5"/>
      <c r="C188" s="5"/>
      <c r="D188" s="5"/>
      <c r="E188" s="5"/>
      <c r="F188" s="5"/>
    </row>
    <row r="189">
      <c r="A189" s="1"/>
      <c r="B189" s="5"/>
      <c r="C189" s="5"/>
      <c r="D189" s="5"/>
      <c r="E189" s="5"/>
      <c r="F189" s="5"/>
    </row>
    <row r="190">
      <c r="A190" s="1"/>
      <c r="B190" s="5"/>
      <c r="C190" s="5"/>
      <c r="D190" s="5"/>
      <c r="E190" s="5"/>
      <c r="F190" s="5"/>
    </row>
    <row r="191">
      <c r="A191" s="1"/>
      <c r="B191" s="5"/>
      <c r="C191" s="5"/>
      <c r="D191" s="5"/>
      <c r="E191" s="5"/>
      <c r="F191" s="5"/>
    </row>
    <row r="192">
      <c r="A192" s="1"/>
      <c r="B192" s="5"/>
      <c r="C192" s="5"/>
      <c r="D192" s="5"/>
      <c r="E192" s="5"/>
      <c r="F192" s="5"/>
    </row>
    <row r="193">
      <c r="A193" s="1"/>
      <c r="B193" s="5"/>
      <c r="C193" s="5"/>
      <c r="D193" s="5"/>
      <c r="E193" s="5"/>
      <c r="F193" s="5"/>
    </row>
    <row r="194">
      <c r="A194" s="1"/>
      <c r="B194" s="5"/>
      <c r="C194" s="5"/>
      <c r="D194" s="5"/>
      <c r="E194" s="5"/>
      <c r="F194" s="5"/>
    </row>
    <row r="195">
      <c r="A195" s="1"/>
      <c r="B195" s="5"/>
      <c r="C195" s="5"/>
      <c r="D195" s="5"/>
      <c r="E195" s="5"/>
      <c r="F195" s="5"/>
    </row>
    <row r="196">
      <c r="A196" s="1"/>
      <c r="B196" s="5"/>
      <c r="C196" s="5"/>
      <c r="D196" s="5"/>
      <c r="E196" s="5"/>
      <c r="F196" s="5"/>
    </row>
    <row r="197">
      <c r="A197" s="1"/>
      <c r="B197" s="5"/>
      <c r="C197" s="5"/>
      <c r="D197" s="5"/>
      <c r="E197" s="5"/>
      <c r="F197" s="5"/>
    </row>
    <row r="198">
      <c r="A198" s="1"/>
      <c r="B198" s="5"/>
      <c r="C198" s="5"/>
      <c r="D198" s="5"/>
      <c r="E198" s="5"/>
      <c r="F198" s="5"/>
    </row>
    <row r="199">
      <c r="A199" s="1"/>
      <c r="B199" s="5"/>
      <c r="C199" s="5"/>
      <c r="D199" s="5"/>
      <c r="E199" s="5"/>
      <c r="F199" s="5"/>
    </row>
    <row r="200">
      <c r="A200" s="1"/>
      <c r="B200" s="5"/>
      <c r="C200" s="5"/>
      <c r="D200" s="5"/>
      <c r="E200" s="5"/>
      <c r="F200" s="5"/>
    </row>
    <row r="201">
      <c r="A201" s="1"/>
      <c r="B201" s="5"/>
      <c r="C201" s="5"/>
      <c r="D201" s="5"/>
      <c r="E201" s="5"/>
      <c r="F201" s="5"/>
    </row>
    <row r="202">
      <c r="A202" s="1"/>
      <c r="B202" s="5"/>
      <c r="C202" s="5"/>
      <c r="D202" s="5"/>
      <c r="E202" s="5"/>
      <c r="F202" s="5"/>
    </row>
    <row r="203">
      <c r="A203" s="1"/>
      <c r="B203" s="5"/>
      <c r="C203" s="5"/>
      <c r="D203" s="5"/>
      <c r="E203" s="5"/>
      <c r="F203" s="5"/>
    </row>
    <row r="204">
      <c r="A204" s="1"/>
      <c r="B204" s="5"/>
      <c r="C204" s="5"/>
      <c r="D204" s="5"/>
      <c r="E204" s="5"/>
      <c r="F204" s="5"/>
    </row>
    <row r="205">
      <c r="A205" s="1"/>
      <c r="B205" s="5"/>
      <c r="C205" s="5"/>
      <c r="D205" s="5"/>
      <c r="E205" s="5"/>
      <c r="F205" s="5"/>
    </row>
    <row r="206">
      <c r="A206" s="1"/>
      <c r="B206" s="5"/>
      <c r="C206" s="5"/>
      <c r="D206" s="5"/>
      <c r="E206" s="5"/>
      <c r="F206" s="5"/>
    </row>
    <row r="207">
      <c r="A207" s="1"/>
      <c r="B207" s="5"/>
      <c r="C207" s="5"/>
      <c r="D207" s="5"/>
      <c r="E207" s="5"/>
      <c r="F207" s="5"/>
    </row>
    <row r="208">
      <c r="A208" s="1"/>
      <c r="B208" s="5"/>
      <c r="C208" s="5"/>
      <c r="D208" s="5"/>
      <c r="E208" s="5"/>
      <c r="F208" s="5"/>
    </row>
    <row r="209">
      <c r="A209" s="1"/>
      <c r="B209" s="5"/>
      <c r="C209" s="5"/>
      <c r="D209" s="5"/>
      <c r="E209" s="5"/>
      <c r="F209" s="5"/>
    </row>
    <row r="210">
      <c r="A210" s="1"/>
      <c r="B210" s="5"/>
      <c r="C210" s="5"/>
      <c r="D210" s="5"/>
      <c r="E210" s="5"/>
      <c r="F210" s="5"/>
    </row>
    <row r="211">
      <c r="A211" s="1"/>
      <c r="B211" s="5"/>
      <c r="C211" s="5"/>
      <c r="D211" s="5"/>
      <c r="E211" s="5"/>
      <c r="F211" s="5"/>
    </row>
    <row r="212">
      <c r="A212" s="1"/>
      <c r="B212" s="5"/>
      <c r="C212" s="5"/>
      <c r="D212" s="5"/>
      <c r="E212" s="5"/>
      <c r="F212" s="5"/>
    </row>
    <row r="213">
      <c r="A213" s="1"/>
      <c r="B213" s="5"/>
      <c r="C213" s="5"/>
      <c r="D213" s="5"/>
      <c r="E213" s="5"/>
      <c r="F213" s="5"/>
    </row>
    <row r="214">
      <c r="A214" s="1"/>
      <c r="B214" s="5"/>
      <c r="C214" s="5"/>
      <c r="D214" s="5"/>
      <c r="E214" s="5"/>
      <c r="F214" s="5"/>
    </row>
    <row r="215">
      <c r="A215" s="1"/>
      <c r="B215" s="5"/>
      <c r="C215" s="5"/>
      <c r="D215" s="5"/>
      <c r="E215" s="5"/>
      <c r="F215" s="5"/>
    </row>
    <row r="216">
      <c r="A216" s="1"/>
      <c r="B216" s="5"/>
      <c r="C216" s="5"/>
      <c r="D216" s="5"/>
      <c r="E216" s="5"/>
      <c r="F216" s="5"/>
    </row>
    <row r="217">
      <c r="A217" s="1"/>
      <c r="B217" s="5"/>
      <c r="C217" s="5"/>
      <c r="D217" s="5"/>
      <c r="E217" s="5"/>
      <c r="F217" s="5"/>
    </row>
    <row r="218">
      <c r="A218" s="1"/>
      <c r="B218" s="5"/>
      <c r="C218" s="5"/>
      <c r="D218" s="5"/>
      <c r="E218" s="5"/>
      <c r="F218" s="5"/>
    </row>
    <row r="219">
      <c r="A219" s="1"/>
      <c r="B219" s="5"/>
      <c r="C219" s="5"/>
      <c r="D219" s="5"/>
      <c r="E219" s="5"/>
      <c r="F219" s="5"/>
    </row>
    <row r="220">
      <c r="A220" s="1"/>
      <c r="B220" s="5"/>
      <c r="C220" s="5"/>
      <c r="D220" s="5"/>
      <c r="E220" s="5"/>
      <c r="F220" s="5"/>
    </row>
    <row r="221">
      <c r="A221" s="1"/>
      <c r="B221" s="5"/>
      <c r="C221" s="5"/>
      <c r="D221" s="5"/>
      <c r="E221" s="5"/>
      <c r="F221" s="5"/>
    </row>
    <row r="222">
      <c r="A222" s="1"/>
      <c r="B222" s="5"/>
      <c r="C222" s="5"/>
      <c r="D222" s="5"/>
      <c r="E222" s="5"/>
      <c r="F222" s="5"/>
    </row>
    <row r="223">
      <c r="A223" s="1"/>
      <c r="B223" s="5"/>
      <c r="C223" s="5"/>
      <c r="D223" s="5"/>
      <c r="E223" s="5"/>
      <c r="F223" s="5"/>
    </row>
    <row r="224">
      <c r="A224" s="1"/>
      <c r="B224" s="5"/>
      <c r="C224" s="5"/>
      <c r="D224" s="5"/>
      <c r="E224" s="5"/>
      <c r="F224" s="5"/>
    </row>
    <row r="225">
      <c r="A225" s="1"/>
      <c r="B225" s="5"/>
      <c r="C225" s="5"/>
      <c r="D225" s="5"/>
      <c r="E225" s="5"/>
      <c r="F225" s="5"/>
    </row>
    <row r="226">
      <c r="A226" s="1"/>
      <c r="B226" s="5"/>
      <c r="C226" s="5"/>
      <c r="D226" s="5"/>
      <c r="E226" s="5"/>
      <c r="F226" s="5"/>
    </row>
    <row r="227">
      <c r="A227" s="1"/>
      <c r="B227" s="5"/>
      <c r="C227" s="5"/>
      <c r="D227" s="5"/>
      <c r="E227" s="5"/>
      <c r="F227" s="5"/>
    </row>
    <row r="228">
      <c r="A228" s="1"/>
      <c r="B228" s="5"/>
      <c r="C228" s="5"/>
      <c r="D228" s="5"/>
      <c r="E228" s="5"/>
      <c r="F228" s="5"/>
    </row>
    <row r="229">
      <c r="A229" s="1"/>
      <c r="B229" s="5"/>
      <c r="C229" s="5"/>
      <c r="D229" s="5"/>
      <c r="E229" s="5"/>
      <c r="F229" s="5"/>
    </row>
    <row r="230">
      <c r="A230" s="1"/>
      <c r="B230" s="5"/>
      <c r="C230" s="5"/>
      <c r="D230" s="5"/>
      <c r="E230" s="5"/>
      <c r="F230" s="5"/>
    </row>
    <row r="231">
      <c r="A231" s="1"/>
      <c r="B231" s="5"/>
      <c r="C231" s="5"/>
      <c r="D231" s="5"/>
      <c r="E231" s="5"/>
      <c r="F231" s="5"/>
    </row>
    <row r="232">
      <c r="A232" s="1"/>
      <c r="B232" s="5"/>
      <c r="C232" s="5"/>
      <c r="D232" s="5"/>
      <c r="E232" s="5"/>
      <c r="F232" s="5"/>
    </row>
    <row r="233">
      <c r="A233" s="1"/>
      <c r="B233" s="5"/>
      <c r="C233" s="5"/>
      <c r="D233" s="5"/>
      <c r="E233" s="5"/>
      <c r="F233" s="5"/>
    </row>
    <row r="234">
      <c r="A234" s="1"/>
      <c r="B234" s="5"/>
      <c r="C234" s="5"/>
      <c r="D234" s="5"/>
      <c r="E234" s="5"/>
      <c r="F234" s="5"/>
    </row>
    <row r="235">
      <c r="A235" s="1"/>
      <c r="B235" s="5"/>
      <c r="C235" s="5"/>
      <c r="D235" s="5"/>
      <c r="E235" s="5"/>
      <c r="F235" s="5"/>
    </row>
    <row r="236">
      <c r="A236" s="1"/>
      <c r="B236" s="5"/>
      <c r="C236" s="5"/>
      <c r="D236" s="5"/>
      <c r="E236" s="5"/>
      <c r="F236" s="5"/>
    </row>
    <row r="237">
      <c r="A237" s="1"/>
      <c r="B237" s="5"/>
      <c r="C237" s="5"/>
      <c r="D237" s="5"/>
      <c r="E237" s="5"/>
      <c r="F237" s="5"/>
    </row>
    <row r="238">
      <c r="A238" s="1"/>
      <c r="B238" s="5"/>
      <c r="C238" s="5"/>
      <c r="D238" s="5"/>
      <c r="E238" s="5"/>
      <c r="F238" s="5"/>
    </row>
    <row r="239">
      <c r="A239" s="1"/>
      <c r="B239" s="5"/>
      <c r="C239" s="5"/>
      <c r="D239" s="5"/>
      <c r="E239" s="5"/>
      <c r="F239" s="5"/>
    </row>
    <row r="240">
      <c r="A240" s="1"/>
      <c r="B240" s="5"/>
      <c r="C240" s="5"/>
      <c r="D240" s="5"/>
      <c r="E240" s="5"/>
      <c r="F240" s="5"/>
    </row>
    <row r="241">
      <c r="A241" s="1"/>
      <c r="B241" s="5"/>
      <c r="C241" s="5"/>
      <c r="D241" s="5"/>
      <c r="E241" s="5"/>
      <c r="F241" s="5"/>
    </row>
    <row r="242">
      <c r="A242" s="1"/>
      <c r="B242" s="5"/>
      <c r="C242" s="5"/>
      <c r="D242" s="5"/>
      <c r="E242" s="5"/>
      <c r="F242" s="5"/>
    </row>
    <row r="243">
      <c r="A243" s="1"/>
      <c r="B243" s="5"/>
      <c r="C243" s="5"/>
      <c r="D243" s="5"/>
      <c r="E243" s="5"/>
      <c r="F243" s="5"/>
    </row>
    <row r="244">
      <c r="A244" s="1"/>
      <c r="B244" s="5"/>
      <c r="C244" s="5"/>
      <c r="D244" s="5"/>
      <c r="E244" s="5"/>
      <c r="F244" s="5"/>
    </row>
    <row r="245">
      <c r="A245" s="1"/>
      <c r="B245" s="5"/>
      <c r="C245" s="5"/>
      <c r="D245" s="5"/>
      <c r="E245" s="5"/>
      <c r="F245" s="5"/>
    </row>
    <row r="246">
      <c r="A246" s="1"/>
      <c r="B246" s="5"/>
      <c r="C246" s="5"/>
      <c r="D246" s="5"/>
      <c r="E246" s="5"/>
      <c r="F246" s="5"/>
    </row>
    <row r="247">
      <c r="A247" s="1"/>
      <c r="B247" s="5"/>
      <c r="C247" s="5"/>
      <c r="D247" s="5"/>
      <c r="E247" s="5"/>
      <c r="F247" s="5"/>
    </row>
    <row r="248">
      <c r="A248" s="1"/>
      <c r="B248" s="5"/>
      <c r="C248" s="5"/>
      <c r="D248" s="5"/>
      <c r="E248" s="5"/>
      <c r="F248" s="5"/>
    </row>
    <row r="249">
      <c r="A249" s="1"/>
      <c r="B249" s="5"/>
      <c r="C249" s="5"/>
      <c r="D249" s="5"/>
      <c r="E249" s="5"/>
      <c r="F249" s="5"/>
    </row>
    <row r="250">
      <c r="A250" s="1"/>
      <c r="B250" s="5"/>
      <c r="C250" s="5"/>
      <c r="D250" s="5"/>
      <c r="E250" s="5"/>
      <c r="F250" s="5"/>
    </row>
    <row r="251">
      <c r="A251" s="1"/>
      <c r="B251" s="5"/>
      <c r="C251" s="5"/>
      <c r="D251" s="5"/>
      <c r="E251" s="5"/>
      <c r="F251" s="5"/>
    </row>
    <row r="252">
      <c r="A252" s="1"/>
      <c r="B252" s="5"/>
      <c r="C252" s="5"/>
      <c r="D252" s="5"/>
      <c r="E252" s="5"/>
      <c r="F252" s="5"/>
    </row>
    <row r="253">
      <c r="A253" s="1"/>
      <c r="B253" s="5"/>
      <c r="C253" s="5"/>
      <c r="D253" s="5"/>
      <c r="E253" s="5"/>
      <c r="F253" s="5"/>
    </row>
    <row r="254">
      <c r="A254" s="1"/>
      <c r="B254" s="5"/>
      <c r="C254" s="5"/>
      <c r="D254" s="5"/>
      <c r="E254" s="5"/>
      <c r="F254" s="5"/>
    </row>
    <row r="255">
      <c r="A255" s="1"/>
      <c r="B255" s="5"/>
      <c r="C255" s="5"/>
      <c r="D255" s="5"/>
      <c r="E255" s="5"/>
      <c r="F255" s="5"/>
    </row>
    <row r="256">
      <c r="A256" s="1"/>
      <c r="B256" s="5"/>
      <c r="C256" s="5"/>
      <c r="D256" s="5"/>
      <c r="E256" s="5"/>
      <c r="F256" s="5"/>
    </row>
    <row r="257">
      <c r="A257" s="1"/>
      <c r="B257" s="5"/>
      <c r="C257" s="5"/>
      <c r="D257" s="5"/>
      <c r="E257" s="5"/>
      <c r="F257" s="5"/>
    </row>
    <row r="258">
      <c r="A258" s="1"/>
      <c r="B258" s="5"/>
      <c r="C258" s="5"/>
      <c r="D258" s="5"/>
      <c r="E258" s="5"/>
      <c r="F258" s="5"/>
    </row>
    <row r="259">
      <c r="A259" s="1"/>
      <c r="B259" s="5"/>
      <c r="C259" s="5"/>
      <c r="D259" s="5"/>
      <c r="E259" s="5"/>
      <c r="F259" s="5"/>
    </row>
    <row r="260">
      <c r="A260" s="1"/>
      <c r="B260" s="5"/>
      <c r="C260" s="5"/>
      <c r="D260" s="5"/>
      <c r="E260" s="5"/>
      <c r="F260" s="5"/>
    </row>
    <row r="261">
      <c r="A261" s="1"/>
      <c r="B261" s="5"/>
      <c r="C261" s="5"/>
      <c r="D261" s="5"/>
      <c r="E261" s="5"/>
      <c r="F261" s="5"/>
    </row>
    <row r="262">
      <c r="A262" s="1"/>
      <c r="B262" s="5"/>
      <c r="C262" s="5"/>
      <c r="D262" s="5"/>
      <c r="E262" s="5"/>
      <c r="F262" s="5"/>
    </row>
    <row r="263">
      <c r="A263" s="1"/>
      <c r="B263" s="5"/>
      <c r="C263" s="5"/>
      <c r="D263" s="5"/>
      <c r="E263" s="5"/>
      <c r="F263" s="5"/>
    </row>
    <row r="264">
      <c r="A264" s="1"/>
      <c r="B264" s="5"/>
      <c r="C264" s="5"/>
      <c r="D264" s="5"/>
      <c r="E264" s="5"/>
      <c r="F264" s="5"/>
    </row>
    <row r="265">
      <c r="A265" s="1"/>
      <c r="B265" s="5"/>
      <c r="C265" s="5"/>
      <c r="D265" s="5"/>
      <c r="E265" s="5"/>
      <c r="F265" s="5"/>
    </row>
    <row r="266">
      <c r="A266" s="1"/>
      <c r="B266" s="5"/>
      <c r="C266" s="5"/>
      <c r="D266" s="5"/>
      <c r="E266" s="5"/>
      <c r="F266" s="5"/>
    </row>
    <row r="267">
      <c r="A267" s="1"/>
      <c r="B267" s="5"/>
      <c r="C267" s="5"/>
      <c r="D267" s="5"/>
      <c r="E267" s="5"/>
      <c r="F267" s="5"/>
    </row>
    <row r="268">
      <c r="A268" s="1"/>
      <c r="B268" s="5"/>
      <c r="C268" s="5"/>
      <c r="D268" s="5"/>
      <c r="E268" s="5"/>
      <c r="F268" s="5"/>
    </row>
    <row r="269">
      <c r="A269" s="1"/>
      <c r="B269" s="5"/>
      <c r="C269" s="5"/>
      <c r="D269" s="5"/>
      <c r="E269" s="5"/>
      <c r="F269" s="5"/>
    </row>
    <row r="270">
      <c r="A270" s="1"/>
      <c r="B270" s="5"/>
      <c r="C270" s="5"/>
      <c r="D270" s="5"/>
      <c r="E270" s="5"/>
      <c r="F270" s="5"/>
    </row>
    <row r="271">
      <c r="A271" s="1"/>
      <c r="B271" s="5"/>
      <c r="C271" s="5"/>
      <c r="D271" s="5"/>
      <c r="E271" s="5"/>
      <c r="F271" s="5"/>
    </row>
    <row r="272">
      <c r="A272" s="1"/>
      <c r="B272" s="5"/>
      <c r="C272" s="5"/>
      <c r="D272" s="5"/>
      <c r="E272" s="5"/>
      <c r="F272" s="5"/>
    </row>
    <row r="273">
      <c r="A273" s="1"/>
      <c r="B273" s="5"/>
      <c r="C273" s="5"/>
      <c r="D273" s="5"/>
      <c r="E273" s="5"/>
      <c r="F273" s="5"/>
    </row>
    <row r="274">
      <c r="A274" s="1"/>
      <c r="B274" s="5"/>
      <c r="C274" s="5"/>
      <c r="D274" s="5"/>
      <c r="E274" s="5"/>
      <c r="F274" s="5"/>
    </row>
    <row r="275">
      <c r="A275" s="1"/>
      <c r="B275" s="5"/>
      <c r="C275" s="5"/>
      <c r="D275" s="5"/>
      <c r="E275" s="5"/>
      <c r="F275" s="5"/>
    </row>
    <row r="276">
      <c r="A276" s="1"/>
      <c r="B276" s="5"/>
      <c r="C276" s="5"/>
      <c r="D276" s="5"/>
      <c r="E276" s="5"/>
      <c r="F276" s="5"/>
    </row>
    <row r="277">
      <c r="A277" s="1"/>
      <c r="B277" s="5"/>
      <c r="C277" s="5"/>
      <c r="D277" s="5"/>
      <c r="E277" s="5"/>
      <c r="F277" s="5"/>
    </row>
    <row r="278">
      <c r="A278" s="1"/>
      <c r="B278" s="5"/>
      <c r="C278" s="5"/>
      <c r="D278" s="5"/>
      <c r="E278" s="5"/>
      <c r="F278" s="5"/>
    </row>
    <row r="279">
      <c r="A279" s="1"/>
      <c r="B279" s="5"/>
      <c r="C279" s="5"/>
      <c r="D279" s="5"/>
      <c r="E279" s="5"/>
      <c r="F279" s="5"/>
    </row>
    <row r="280">
      <c r="A280" s="1"/>
      <c r="B280" s="5"/>
      <c r="C280" s="5"/>
      <c r="D280" s="5"/>
      <c r="E280" s="5"/>
      <c r="F280" s="5"/>
    </row>
    <row r="281">
      <c r="A281" s="1"/>
      <c r="B281" s="5"/>
      <c r="C281" s="5"/>
      <c r="D281" s="5"/>
      <c r="E281" s="5"/>
      <c r="F281" s="5"/>
    </row>
    <row r="282">
      <c r="A282" s="1"/>
      <c r="B282" s="5"/>
      <c r="C282" s="5"/>
      <c r="D282" s="5"/>
      <c r="E282" s="5"/>
      <c r="F282" s="5"/>
    </row>
    <row r="283">
      <c r="A283" s="1"/>
      <c r="B283" s="5"/>
      <c r="C283" s="5"/>
      <c r="D283" s="5"/>
      <c r="E283" s="5"/>
      <c r="F283" s="5"/>
    </row>
    <row r="284">
      <c r="A284" s="1"/>
      <c r="B284" s="5"/>
      <c r="C284" s="5"/>
      <c r="D284" s="5"/>
      <c r="E284" s="5"/>
      <c r="F284" s="5"/>
    </row>
    <row r="285">
      <c r="A285" s="1"/>
      <c r="B285" s="5"/>
      <c r="C285" s="5"/>
      <c r="D285" s="5"/>
      <c r="E285" s="5"/>
      <c r="F285" s="5"/>
    </row>
    <row r="286">
      <c r="A286" s="1"/>
      <c r="B286" s="5"/>
      <c r="C286" s="5"/>
      <c r="D286" s="5"/>
      <c r="E286" s="5"/>
      <c r="F286" s="5"/>
    </row>
    <row r="287">
      <c r="A287" s="1"/>
      <c r="B287" s="5"/>
      <c r="C287" s="5"/>
      <c r="D287" s="5"/>
      <c r="E287" s="5"/>
      <c r="F287" s="5"/>
    </row>
    <row r="288">
      <c r="A288" s="1"/>
      <c r="B288" s="5"/>
      <c r="C288" s="5"/>
      <c r="D288" s="5"/>
      <c r="E288" s="5"/>
      <c r="F288" s="5"/>
    </row>
    <row r="289">
      <c r="A289" s="1"/>
      <c r="B289" s="5"/>
      <c r="C289" s="5"/>
      <c r="D289" s="5"/>
      <c r="E289" s="5"/>
      <c r="F289" s="5"/>
    </row>
    <row r="290">
      <c r="A290" s="1"/>
      <c r="B290" s="5"/>
      <c r="C290" s="5"/>
      <c r="D290" s="5"/>
      <c r="E290" s="5"/>
      <c r="F290" s="5"/>
    </row>
    <row r="291">
      <c r="A291" s="1"/>
      <c r="B291" s="5"/>
      <c r="C291" s="5"/>
      <c r="D291" s="5"/>
      <c r="E291" s="5"/>
      <c r="F291" s="5"/>
    </row>
    <row r="292">
      <c r="A292" s="1"/>
      <c r="B292" s="5"/>
      <c r="C292" s="5"/>
      <c r="D292" s="5"/>
      <c r="E292" s="5"/>
      <c r="F292" s="5"/>
    </row>
    <row r="293">
      <c r="A293" s="1"/>
      <c r="B293" s="5"/>
      <c r="C293" s="5"/>
      <c r="D293" s="5"/>
      <c r="E293" s="5"/>
      <c r="F293" s="5"/>
    </row>
    <row r="294">
      <c r="A294" s="1"/>
      <c r="B294" s="5"/>
      <c r="C294" s="5"/>
      <c r="D294" s="5"/>
      <c r="E294" s="5"/>
      <c r="F294" s="5"/>
    </row>
    <row r="295">
      <c r="A295" s="1"/>
      <c r="B295" s="5"/>
      <c r="C295" s="5"/>
      <c r="D295" s="5"/>
      <c r="E295" s="5"/>
      <c r="F295" s="5"/>
    </row>
    <row r="296">
      <c r="A296" s="1"/>
      <c r="B296" s="5"/>
      <c r="C296" s="5"/>
      <c r="D296" s="5"/>
      <c r="E296" s="5"/>
      <c r="F296" s="5"/>
    </row>
    <row r="297">
      <c r="A297" s="1"/>
      <c r="B297" s="5"/>
      <c r="C297" s="5"/>
      <c r="D297" s="5"/>
      <c r="E297" s="5"/>
      <c r="F297" s="5"/>
    </row>
    <row r="298">
      <c r="A298" s="1"/>
      <c r="B298" s="5"/>
      <c r="C298" s="5"/>
      <c r="D298" s="5"/>
      <c r="E298" s="5"/>
      <c r="F298" s="5"/>
    </row>
    <row r="299">
      <c r="A299" s="1"/>
      <c r="B299" s="5"/>
      <c r="C299" s="5"/>
      <c r="D299" s="5"/>
      <c r="E299" s="5"/>
      <c r="F299" s="5"/>
    </row>
    <row r="300">
      <c r="A300" s="1"/>
      <c r="B300" s="5"/>
      <c r="C300" s="5"/>
      <c r="D300" s="5"/>
      <c r="E300" s="5"/>
      <c r="F300" s="5"/>
    </row>
    <row r="301">
      <c r="A301" s="1"/>
      <c r="B301" s="5"/>
      <c r="C301" s="5"/>
      <c r="D301" s="5"/>
      <c r="E301" s="5"/>
      <c r="F301" s="5"/>
    </row>
    <row r="302">
      <c r="A302" s="1"/>
      <c r="B302" s="5"/>
      <c r="C302" s="5"/>
      <c r="D302" s="5"/>
      <c r="E302" s="5"/>
      <c r="F302" s="5"/>
    </row>
    <row r="303">
      <c r="A303" s="1"/>
      <c r="B303" s="5"/>
      <c r="C303" s="5"/>
      <c r="D303" s="5"/>
      <c r="E303" s="5"/>
      <c r="F303" s="5"/>
    </row>
    <row r="304">
      <c r="A304" s="1"/>
      <c r="B304" s="5"/>
      <c r="C304" s="5"/>
      <c r="D304" s="5"/>
      <c r="E304" s="5"/>
      <c r="F304" s="5"/>
    </row>
    <row r="305">
      <c r="A305" s="1"/>
      <c r="B305" s="5"/>
      <c r="C305" s="5"/>
      <c r="D305" s="5"/>
      <c r="E305" s="5"/>
      <c r="F305" s="5"/>
    </row>
    <row r="306">
      <c r="A306" s="1"/>
      <c r="B306" s="5"/>
      <c r="C306" s="5"/>
      <c r="D306" s="5"/>
      <c r="E306" s="5"/>
      <c r="F306" s="5"/>
    </row>
    <row r="307">
      <c r="A307" s="1"/>
      <c r="B307" s="5"/>
      <c r="C307" s="5"/>
      <c r="D307" s="5"/>
      <c r="E307" s="5"/>
      <c r="F307" s="5"/>
    </row>
    <row r="308">
      <c r="A308" s="1"/>
      <c r="B308" s="5"/>
      <c r="C308" s="5"/>
      <c r="D308" s="5"/>
      <c r="E308" s="5"/>
      <c r="F308" s="5"/>
    </row>
    <row r="309">
      <c r="A309" s="1"/>
      <c r="B309" s="5"/>
      <c r="C309" s="5"/>
      <c r="D309" s="5"/>
      <c r="E309" s="5"/>
      <c r="F309" s="5"/>
    </row>
    <row r="310">
      <c r="A310" s="1"/>
      <c r="B310" s="5"/>
      <c r="C310" s="5"/>
      <c r="D310" s="5"/>
      <c r="E310" s="5"/>
      <c r="F310" s="5"/>
    </row>
    <row r="311">
      <c r="A311" s="1"/>
      <c r="B311" s="5"/>
      <c r="C311" s="5"/>
      <c r="D311" s="5"/>
      <c r="E311" s="5"/>
      <c r="F311" s="5"/>
    </row>
    <row r="312">
      <c r="A312" s="1"/>
      <c r="B312" s="5"/>
      <c r="C312" s="5"/>
      <c r="D312" s="5"/>
      <c r="E312" s="5"/>
      <c r="F312" s="5"/>
    </row>
    <row r="313">
      <c r="A313" s="1"/>
      <c r="B313" s="5"/>
      <c r="C313" s="5"/>
      <c r="D313" s="5"/>
      <c r="E313" s="5"/>
      <c r="F313" s="5"/>
    </row>
    <row r="314">
      <c r="A314" s="1"/>
      <c r="B314" s="5"/>
      <c r="C314" s="5"/>
      <c r="D314" s="5"/>
      <c r="E314" s="5"/>
      <c r="F314" s="5"/>
    </row>
    <row r="315">
      <c r="A315" s="1"/>
      <c r="B315" s="5"/>
      <c r="C315" s="5"/>
      <c r="D315" s="5"/>
      <c r="E315" s="5"/>
      <c r="F315" s="5"/>
    </row>
    <row r="316">
      <c r="A316" s="1"/>
      <c r="B316" s="5"/>
      <c r="C316" s="5"/>
      <c r="D316" s="5"/>
      <c r="E316" s="5"/>
      <c r="F316" s="5"/>
    </row>
    <row r="317">
      <c r="A317" s="1"/>
      <c r="B317" s="5"/>
      <c r="C317" s="5"/>
      <c r="D317" s="5"/>
      <c r="E317" s="5"/>
      <c r="F317" s="5"/>
    </row>
    <row r="318">
      <c r="A318" s="1"/>
      <c r="B318" s="5"/>
      <c r="C318" s="5"/>
      <c r="D318" s="5"/>
      <c r="E318" s="5"/>
      <c r="F318" s="5"/>
    </row>
    <row r="319">
      <c r="A319" s="1"/>
      <c r="B319" s="5"/>
      <c r="C319" s="5"/>
      <c r="D319" s="5"/>
      <c r="E319" s="5"/>
      <c r="F319" s="5"/>
    </row>
    <row r="320">
      <c r="A320" s="1"/>
      <c r="B320" s="5"/>
      <c r="C320" s="5"/>
      <c r="D320" s="5"/>
      <c r="E320" s="5"/>
      <c r="F320" s="5"/>
    </row>
    <row r="321">
      <c r="A321" s="1"/>
      <c r="B321" s="5"/>
      <c r="C321" s="5"/>
      <c r="D321" s="5"/>
      <c r="E321" s="5"/>
      <c r="F321" s="5"/>
    </row>
    <row r="322">
      <c r="A322" s="1"/>
      <c r="B322" s="5"/>
      <c r="C322" s="5"/>
      <c r="D322" s="5"/>
      <c r="E322" s="5"/>
      <c r="F322" s="5"/>
    </row>
    <row r="323">
      <c r="A323" s="1"/>
      <c r="B323" s="5"/>
      <c r="C323" s="5"/>
      <c r="D323" s="5"/>
      <c r="E323" s="5"/>
      <c r="F323" s="5"/>
    </row>
    <row r="324">
      <c r="A324" s="1"/>
      <c r="B324" s="5"/>
      <c r="C324" s="5"/>
      <c r="D324" s="5"/>
      <c r="E324" s="5"/>
      <c r="F324" s="5"/>
    </row>
    <row r="325">
      <c r="A325" s="1"/>
      <c r="B325" s="5"/>
      <c r="C325" s="5"/>
      <c r="D325" s="5"/>
      <c r="E325" s="5"/>
      <c r="F325" s="5"/>
    </row>
    <row r="326">
      <c r="A326" s="1"/>
      <c r="B326" s="5"/>
      <c r="C326" s="5"/>
      <c r="D326" s="5"/>
      <c r="E326" s="5"/>
      <c r="F326" s="5"/>
    </row>
    <row r="327">
      <c r="A327" s="1"/>
      <c r="B327" s="5"/>
      <c r="C327" s="5"/>
      <c r="D327" s="5"/>
      <c r="E327" s="5"/>
      <c r="F327" s="5"/>
    </row>
    <row r="328">
      <c r="A328" s="1"/>
      <c r="B328" s="5"/>
      <c r="C328" s="5"/>
      <c r="D328" s="5"/>
      <c r="E328" s="5"/>
      <c r="F328" s="5"/>
    </row>
    <row r="329">
      <c r="A329" s="1"/>
      <c r="B329" s="5"/>
      <c r="C329" s="5"/>
      <c r="D329" s="5"/>
      <c r="E329" s="5"/>
      <c r="F329" s="5"/>
    </row>
    <row r="330">
      <c r="A330" s="1"/>
      <c r="B330" s="5"/>
      <c r="C330" s="5"/>
      <c r="D330" s="5"/>
      <c r="E330" s="5"/>
      <c r="F330" s="5"/>
    </row>
    <row r="331">
      <c r="A331" s="1"/>
      <c r="B331" s="5"/>
      <c r="C331" s="5"/>
      <c r="D331" s="5"/>
      <c r="E331" s="5"/>
      <c r="F331" s="5"/>
    </row>
    <row r="332">
      <c r="A332" s="1"/>
      <c r="B332" s="5"/>
      <c r="C332" s="5"/>
      <c r="D332" s="5"/>
      <c r="E332" s="5"/>
      <c r="F332" s="5"/>
    </row>
    <row r="333">
      <c r="A333" s="1"/>
      <c r="B333" s="5"/>
      <c r="C333" s="5"/>
      <c r="D333" s="5"/>
      <c r="E333" s="5"/>
      <c r="F333" s="5"/>
    </row>
    <row r="334">
      <c r="A334" s="1"/>
      <c r="B334" s="5"/>
      <c r="C334" s="5"/>
      <c r="D334" s="5"/>
      <c r="E334" s="5"/>
      <c r="F334" s="5"/>
    </row>
    <row r="335">
      <c r="A335" s="1"/>
      <c r="B335" s="5"/>
      <c r="C335" s="5"/>
      <c r="D335" s="5"/>
      <c r="E335" s="5"/>
      <c r="F335" s="5"/>
    </row>
    <row r="336">
      <c r="A336" s="1"/>
      <c r="B336" s="5"/>
      <c r="C336" s="5"/>
      <c r="D336" s="5"/>
      <c r="E336" s="5"/>
      <c r="F336" s="5"/>
    </row>
    <row r="337">
      <c r="A337" s="1"/>
      <c r="B337" s="5"/>
      <c r="C337" s="5"/>
      <c r="D337" s="5"/>
      <c r="E337" s="5"/>
      <c r="F337" s="5"/>
    </row>
    <row r="338">
      <c r="A338" s="1"/>
      <c r="B338" s="5"/>
      <c r="C338" s="5"/>
      <c r="D338" s="5"/>
      <c r="E338" s="5"/>
      <c r="F338" s="5"/>
    </row>
    <row r="339">
      <c r="A339" s="1"/>
      <c r="B339" s="5"/>
      <c r="C339" s="5"/>
      <c r="D339" s="5"/>
      <c r="E339" s="5"/>
      <c r="F339" s="5"/>
    </row>
    <row r="340">
      <c r="A340" s="1"/>
      <c r="B340" s="5"/>
      <c r="C340" s="5"/>
      <c r="D340" s="5"/>
      <c r="E340" s="5"/>
      <c r="F340" s="5"/>
    </row>
    <row r="341">
      <c r="A341" s="1"/>
      <c r="B341" s="5"/>
      <c r="C341" s="5"/>
      <c r="D341" s="5"/>
      <c r="E341" s="5"/>
      <c r="F341" s="5"/>
    </row>
    <row r="342">
      <c r="A342" s="1"/>
      <c r="B342" s="5"/>
      <c r="C342" s="5"/>
      <c r="D342" s="5"/>
      <c r="E342" s="5"/>
      <c r="F342" s="5"/>
    </row>
    <row r="343">
      <c r="A343" s="1"/>
      <c r="B343" s="5"/>
      <c r="C343" s="5"/>
      <c r="D343" s="5"/>
      <c r="E343" s="5"/>
      <c r="F343" s="5"/>
    </row>
    <row r="344">
      <c r="A344" s="1"/>
      <c r="B344" s="5"/>
      <c r="C344" s="5"/>
      <c r="D344" s="5"/>
      <c r="E344" s="5"/>
      <c r="F344" s="5"/>
    </row>
    <row r="345">
      <c r="A345" s="1"/>
      <c r="B345" s="5"/>
      <c r="C345" s="5"/>
      <c r="D345" s="5"/>
      <c r="E345" s="5"/>
      <c r="F345" s="5"/>
    </row>
    <row r="346">
      <c r="A346" s="1"/>
      <c r="B346" s="5"/>
      <c r="C346" s="5"/>
      <c r="D346" s="5"/>
      <c r="E346" s="5"/>
      <c r="F346" s="5"/>
    </row>
    <row r="347">
      <c r="A347" s="1"/>
      <c r="B347" s="5"/>
      <c r="C347" s="5"/>
      <c r="D347" s="5"/>
      <c r="E347" s="5"/>
      <c r="F347" s="5"/>
    </row>
    <row r="348">
      <c r="A348" s="1"/>
      <c r="B348" s="5"/>
      <c r="C348" s="5"/>
      <c r="D348" s="5"/>
      <c r="E348" s="5"/>
      <c r="F348" s="5"/>
    </row>
    <row r="349">
      <c r="A349" s="1"/>
      <c r="B349" s="5"/>
      <c r="C349" s="5"/>
      <c r="D349" s="5"/>
      <c r="E349" s="5"/>
      <c r="F349" s="5"/>
    </row>
    <row r="350">
      <c r="A350" s="1"/>
      <c r="B350" s="5"/>
      <c r="C350" s="5"/>
      <c r="D350" s="5"/>
      <c r="E350" s="5"/>
      <c r="F350" s="5"/>
    </row>
    <row r="351">
      <c r="A351" s="1"/>
      <c r="B351" s="5"/>
      <c r="C351" s="5"/>
      <c r="D351" s="5"/>
      <c r="E351" s="5"/>
      <c r="F351" s="5"/>
    </row>
    <row r="352">
      <c r="A352" s="1"/>
      <c r="B352" s="5"/>
      <c r="C352" s="5"/>
      <c r="D352" s="5"/>
      <c r="E352" s="5"/>
      <c r="F352" s="5"/>
    </row>
    <row r="353">
      <c r="A353" s="1"/>
      <c r="B353" s="5"/>
      <c r="C353" s="5"/>
      <c r="D353" s="5"/>
      <c r="E353" s="5"/>
      <c r="F353" s="5"/>
    </row>
    <row r="354">
      <c r="A354" s="1"/>
      <c r="B354" s="5"/>
      <c r="C354" s="5"/>
      <c r="D354" s="5"/>
      <c r="E354" s="5"/>
      <c r="F354" s="5"/>
    </row>
    <row r="355">
      <c r="A355" s="1"/>
      <c r="B355" s="5"/>
      <c r="C355" s="5"/>
      <c r="D355" s="5"/>
      <c r="E355" s="5"/>
      <c r="F355" s="5"/>
    </row>
    <row r="356">
      <c r="A356" s="1"/>
      <c r="B356" s="5"/>
      <c r="C356" s="5"/>
      <c r="D356" s="5"/>
      <c r="E356" s="5"/>
      <c r="F356" s="5"/>
    </row>
    <row r="357">
      <c r="A357" s="1"/>
      <c r="B357" s="5"/>
      <c r="C357" s="5"/>
      <c r="D357" s="5"/>
      <c r="E357" s="5"/>
      <c r="F357" s="5"/>
    </row>
    <row r="358">
      <c r="A358" s="1"/>
      <c r="B358" s="5"/>
      <c r="C358" s="5"/>
      <c r="D358" s="5"/>
      <c r="E358" s="5"/>
      <c r="F358" s="5"/>
    </row>
    <row r="359">
      <c r="A359" s="1"/>
      <c r="B359" s="5"/>
      <c r="C359" s="5"/>
      <c r="D359" s="5"/>
      <c r="E359" s="5"/>
      <c r="F359" s="5"/>
    </row>
    <row r="360">
      <c r="A360" s="1"/>
      <c r="B360" s="5"/>
      <c r="C360" s="5"/>
      <c r="D360" s="5"/>
      <c r="E360" s="5"/>
      <c r="F360" s="5"/>
    </row>
    <row r="361">
      <c r="A361" s="1"/>
      <c r="B361" s="5"/>
      <c r="C361" s="5"/>
      <c r="D361" s="5"/>
      <c r="E361" s="5"/>
      <c r="F361" s="5"/>
    </row>
    <row r="362">
      <c r="A362" s="1"/>
      <c r="B362" s="5"/>
      <c r="C362" s="5"/>
      <c r="D362" s="5"/>
      <c r="E362" s="5"/>
      <c r="F362" s="5"/>
    </row>
    <row r="363">
      <c r="A363" s="1"/>
      <c r="B363" s="5"/>
      <c r="C363" s="5"/>
      <c r="D363" s="5"/>
      <c r="E363" s="5"/>
      <c r="F363" s="5"/>
    </row>
    <row r="364">
      <c r="A364" s="1"/>
      <c r="B364" s="5"/>
      <c r="C364" s="5"/>
      <c r="D364" s="5"/>
      <c r="E364" s="5"/>
      <c r="F364" s="5"/>
    </row>
    <row r="365">
      <c r="A365" s="1"/>
      <c r="B365" s="5"/>
      <c r="C365" s="5"/>
      <c r="D365" s="5"/>
      <c r="E365" s="5"/>
      <c r="F365" s="5"/>
    </row>
    <row r="366">
      <c r="A366" s="1"/>
      <c r="B366" s="5"/>
      <c r="C366" s="5"/>
      <c r="D366" s="5"/>
      <c r="E366" s="5"/>
      <c r="F366" s="5"/>
    </row>
    <row r="367">
      <c r="A367" s="1"/>
      <c r="B367" s="5"/>
      <c r="C367" s="5"/>
      <c r="D367" s="5"/>
      <c r="E367" s="5"/>
      <c r="F367" s="5"/>
    </row>
    <row r="368">
      <c r="A368" s="1"/>
      <c r="B368" s="5"/>
      <c r="C368" s="5"/>
      <c r="D368" s="5"/>
      <c r="E368" s="5"/>
      <c r="F368" s="5"/>
    </row>
    <row r="369">
      <c r="A369" s="1"/>
      <c r="B369" s="5"/>
      <c r="C369" s="5"/>
      <c r="D369" s="5"/>
      <c r="E369" s="5"/>
      <c r="F369" s="5"/>
    </row>
    <row r="370">
      <c r="A370" s="1"/>
      <c r="B370" s="5"/>
      <c r="C370" s="5"/>
      <c r="D370" s="5"/>
      <c r="E370" s="5"/>
      <c r="F370" s="5"/>
    </row>
    <row r="371">
      <c r="A371" s="1"/>
      <c r="B371" s="5"/>
      <c r="C371" s="5"/>
      <c r="D371" s="5"/>
      <c r="E371" s="5"/>
      <c r="F371" s="5"/>
    </row>
    <row r="372">
      <c r="A372" s="1"/>
      <c r="B372" s="5"/>
      <c r="C372" s="5"/>
      <c r="D372" s="5"/>
      <c r="E372" s="5"/>
      <c r="F372" s="5"/>
    </row>
    <row r="373">
      <c r="A373" s="1"/>
      <c r="B373" s="5"/>
      <c r="C373" s="5"/>
      <c r="D373" s="5"/>
      <c r="E373" s="5"/>
      <c r="F373" s="5"/>
    </row>
    <row r="374">
      <c r="A374" s="1"/>
      <c r="B374" s="5"/>
      <c r="C374" s="5"/>
      <c r="D374" s="5"/>
      <c r="E374" s="5"/>
      <c r="F374" s="5"/>
    </row>
    <row r="375">
      <c r="A375" s="1"/>
      <c r="B375" s="5"/>
      <c r="C375" s="5"/>
      <c r="D375" s="5"/>
      <c r="E375" s="5"/>
      <c r="F375" s="5"/>
    </row>
    <row r="376">
      <c r="A376" s="1"/>
      <c r="B376" s="5"/>
      <c r="C376" s="5"/>
      <c r="D376" s="5"/>
      <c r="E376" s="5"/>
      <c r="F376" s="5"/>
    </row>
    <row r="377">
      <c r="A377" s="1"/>
      <c r="B377" s="5"/>
      <c r="C377" s="5"/>
      <c r="D377" s="5"/>
      <c r="E377" s="5"/>
      <c r="F377" s="5"/>
    </row>
    <row r="378">
      <c r="A378" s="1"/>
      <c r="B378" s="5"/>
      <c r="C378" s="5"/>
      <c r="D378" s="5"/>
      <c r="E378" s="5"/>
      <c r="F378" s="5"/>
    </row>
    <row r="379">
      <c r="A379" s="1"/>
      <c r="B379" s="5"/>
      <c r="C379" s="5"/>
      <c r="D379" s="5"/>
      <c r="E379" s="5"/>
      <c r="F379" s="5"/>
    </row>
    <row r="380">
      <c r="A380" s="1"/>
      <c r="B380" s="5"/>
      <c r="C380" s="5"/>
      <c r="D380" s="5"/>
      <c r="E380" s="5"/>
      <c r="F380" s="5"/>
    </row>
    <row r="381">
      <c r="A381" s="1"/>
      <c r="B381" s="5"/>
      <c r="C381" s="5"/>
      <c r="D381" s="5"/>
      <c r="E381" s="5"/>
      <c r="F381" s="5"/>
    </row>
    <row r="382">
      <c r="A382" s="1"/>
      <c r="B382" s="5"/>
      <c r="C382" s="5"/>
      <c r="D382" s="5"/>
      <c r="E382" s="5"/>
      <c r="F382" s="5"/>
    </row>
    <row r="383">
      <c r="A383" s="1"/>
      <c r="B383" s="5"/>
      <c r="C383" s="5"/>
      <c r="D383" s="5"/>
      <c r="E383" s="5"/>
      <c r="F383" s="5"/>
    </row>
    <row r="384">
      <c r="A384" s="1"/>
      <c r="B384" s="5"/>
      <c r="C384" s="5"/>
      <c r="D384" s="5"/>
      <c r="E384" s="5"/>
      <c r="F384" s="5"/>
    </row>
    <row r="385">
      <c r="A385" s="1"/>
      <c r="B385" s="5"/>
      <c r="C385" s="5"/>
      <c r="D385" s="5"/>
      <c r="E385" s="5"/>
      <c r="F385" s="5"/>
    </row>
    <row r="386">
      <c r="A386" s="1"/>
      <c r="B386" s="5"/>
      <c r="C386" s="5"/>
      <c r="D386" s="5"/>
      <c r="E386" s="5"/>
      <c r="F386" s="5"/>
    </row>
    <row r="387">
      <c r="A387" s="1"/>
      <c r="B387" s="5"/>
      <c r="C387" s="5"/>
      <c r="D387" s="5"/>
      <c r="E387" s="5"/>
      <c r="F387" s="5"/>
    </row>
    <row r="388">
      <c r="A388" s="1"/>
      <c r="B388" s="5"/>
      <c r="C388" s="5"/>
      <c r="D388" s="5"/>
      <c r="E388" s="5"/>
      <c r="F388" s="5"/>
    </row>
    <row r="389">
      <c r="A389" s="1"/>
      <c r="B389" s="5"/>
      <c r="C389" s="5"/>
      <c r="D389" s="5"/>
      <c r="E389" s="5"/>
      <c r="F389" s="5"/>
    </row>
    <row r="390">
      <c r="A390" s="1"/>
      <c r="B390" s="5"/>
      <c r="C390" s="5"/>
      <c r="D390" s="5"/>
      <c r="E390" s="5"/>
      <c r="F390" s="5"/>
    </row>
    <row r="391">
      <c r="A391" s="1"/>
      <c r="B391" s="5"/>
      <c r="C391" s="5"/>
      <c r="D391" s="5"/>
      <c r="E391" s="5"/>
      <c r="F391" s="5"/>
    </row>
    <row r="392">
      <c r="A392" s="1"/>
      <c r="B392" s="5"/>
      <c r="C392" s="5"/>
      <c r="D392" s="5"/>
      <c r="E392" s="5"/>
      <c r="F392" s="5"/>
    </row>
    <row r="393">
      <c r="A393" s="1"/>
      <c r="B393" s="5"/>
      <c r="C393" s="5"/>
      <c r="D393" s="5"/>
      <c r="E393" s="5"/>
      <c r="F393" s="5"/>
    </row>
    <row r="394">
      <c r="A394" s="1"/>
      <c r="B394" s="5"/>
      <c r="C394" s="5"/>
      <c r="D394" s="5"/>
      <c r="E394" s="5"/>
      <c r="F394" s="5"/>
    </row>
    <row r="395">
      <c r="A395" s="1"/>
      <c r="B395" s="5"/>
      <c r="C395" s="5"/>
      <c r="D395" s="5"/>
      <c r="E395" s="5"/>
      <c r="F395" s="5"/>
    </row>
    <row r="396">
      <c r="A396" s="1"/>
      <c r="B396" s="5"/>
      <c r="C396" s="5"/>
      <c r="D396" s="5"/>
      <c r="E396" s="5"/>
      <c r="F396" s="5"/>
    </row>
    <row r="397">
      <c r="A397" s="1"/>
      <c r="B397" s="5"/>
      <c r="C397" s="5"/>
      <c r="D397" s="5"/>
      <c r="E397" s="5"/>
      <c r="F397" s="5"/>
    </row>
    <row r="398">
      <c r="A398" s="1"/>
      <c r="B398" s="5"/>
      <c r="C398" s="5"/>
      <c r="D398" s="5"/>
      <c r="E398" s="5"/>
      <c r="F398" s="5"/>
    </row>
    <row r="399">
      <c r="A399" s="1"/>
      <c r="B399" s="5"/>
      <c r="C399" s="5"/>
      <c r="D399" s="5"/>
      <c r="E399" s="5"/>
      <c r="F399" s="5"/>
    </row>
    <row r="400">
      <c r="A400" s="1"/>
      <c r="B400" s="5"/>
      <c r="C400" s="5"/>
      <c r="D400" s="5"/>
      <c r="E400" s="5"/>
      <c r="F400" s="5"/>
    </row>
    <row r="401">
      <c r="A401" s="1"/>
      <c r="B401" s="5"/>
      <c r="C401" s="5"/>
      <c r="D401" s="5"/>
      <c r="E401" s="5"/>
      <c r="F401" s="5"/>
    </row>
    <row r="402">
      <c r="A402" s="1"/>
      <c r="B402" s="5"/>
      <c r="C402" s="5"/>
      <c r="D402" s="5"/>
      <c r="E402" s="5"/>
      <c r="F402" s="5"/>
    </row>
    <row r="403">
      <c r="A403" s="1"/>
      <c r="B403" s="5"/>
      <c r="C403" s="5"/>
      <c r="D403" s="5"/>
      <c r="E403" s="5"/>
      <c r="F403" s="5"/>
    </row>
    <row r="404">
      <c r="A404" s="1"/>
      <c r="B404" s="5"/>
      <c r="C404" s="5"/>
      <c r="D404" s="5"/>
      <c r="E404" s="5"/>
      <c r="F404" s="5"/>
    </row>
    <row r="405">
      <c r="A405" s="1"/>
      <c r="B405" s="5"/>
      <c r="C405" s="5"/>
      <c r="D405" s="5"/>
      <c r="E405" s="5"/>
      <c r="F405" s="5"/>
    </row>
    <row r="406">
      <c r="A406" s="1"/>
      <c r="B406" s="5"/>
      <c r="C406" s="5"/>
      <c r="D406" s="5"/>
      <c r="E406" s="5"/>
      <c r="F406" s="5"/>
    </row>
    <row r="407">
      <c r="A407" s="1"/>
      <c r="B407" s="5"/>
      <c r="C407" s="5"/>
      <c r="D407" s="5"/>
      <c r="E407" s="5"/>
      <c r="F407" s="5"/>
    </row>
    <row r="408">
      <c r="A408" s="1"/>
      <c r="B408" s="5"/>
      <c r="C408" s="5"/>
      <c r="D408" s="5"/>
      <c r="E408" s="5"/>
      <c r="F408" s="5"/>
    </row>
    <row r="409">
      <c r="A409" s="1"/>
      <c r="B409" s="5"/>
      <c r="C409" s="5"/>
      <c r="D409" s="5"/>
      <c r="E409" s="5"/>
      <c r="F409" s="5"/>
    </row>
    <row r="410">
      <c r="A410" s="1"/>
      <c r="B410" s="5"/>
      <c r="C410" s="5"/>
      <c r="D410" s="5"/>
      <c r="E410" s="5"/>
      <c r="F410" s="5"/>
    </row>
    <row r="411">
      <c r="A411" s="1"/>
      <c r="B411" s="5"/>
      <c r="C411" s="5"/>
      <c r="D411" s="5"/>
      <c r="E411" s="5"/>
      <c r="F411" s="5"/>
    </row>
    <row r="412">
      <c r="A412" s="1"/>
      <c r="B412" s="5"/>
      <c r="C412" s="5"/>
      <c r="D412" s="5"/>
      <c r="E412" s="5"/>
      <c r="F412" s="5"/>
    </row>
    <row r="413">
      <c r="A413" s="1"/>
      <c r="B413" s="5"/>
      <c r="C413" s="5"/>
      <c r="D413" s="5"/>
      <c r="E413" s="5"/>
      <c r="F413" s="5"/>
    </row>
    <row r="414">
      <c r="A414" s="1"/>
      <c r="B414" s="5"/>
      <c r="C414" s="5"/>
      <c r="D414" s="5"/>
      <c r="E414" s="5"/>
      <c r="F414" s="5"/>
    </row>
    <row r="415">
      <c r="A415" s="1"/>
      <c r="B415" s="5"/>
      <c r="C415" s="5"/>
      <c r="D415" s="5"/>
      <c r="E415" s="5"/>
      <c r="F415" s="5"/>
    </row>
    <row r="416">
      <c r="A416" s="1"/>
      <c r="B416" s="5"/>
      <c r="C416" s="5"/>
      <c r="D416" s="5"/>
      <c r="E416" s="5"/>
      <c r="F416" s="5"/>
    </row>
    <row r="417">
      <c r="A417" s="1"/>
      <c r="B417" s="5"/>
      <c r="C417" s="5"/>
      <c r="D417" s="5"/>
      <c r="E417" s="5"/>
      <c r="F417" s="5"/>
    </row>
    <row r="418">
      <c r="A418" s="1"/>
      <c r="B418" s="5"/>
      <c r="C418" s="5"/>
      <c r="D418" s="5"/>
      <c r="E418" s="5"/>
      <c r="F418" s="5"/>
    </row>
    <row r="419">
      <c r="A419" s="1"/>
      <c r="B419" s="5"/>
      <c r="C419" s="5"/>
      <c r="D419" s="5"/>
      <c r="E419" s="5"/>
      <c r="F419" s="5"/>
    </row>
    <row r="420">
      <c r="A420" s="1"/>
      <c r="B420" s="5"/>
      <c r="C420" s="5"/>
      <c r="D420" s="5"/>
      <c r="E420" s="5"/>
      <c r="F420" s="5"/>
    </row>
    <row r="421">
      <c r="A421" s="1"/>
      <c r="B421" s="5"/>
      <c r="C421" s="5"/>
      <c r="D421" s="5"/>
      <c r="E421" s="5"/>
      <c r="F421" s="5"/>
    </row>
    <row r="422">
      <c r="A422" s="1"/>
      <c r="B422" s="5"/>
      <c r="C422" s="5"/>
      <c r="D422" s="5"/>
      <c r="E422" s="5"/>
      <c r="F422" s="5"/>
    </row>
    <row r="423">
      <c r="A423" s="1"/>
      <c r="B423" s="5"/>
      <c r="C423" s="5"/>
      <c r="D423" s="5"/>
      <c r="E423" s="5"/>
      <c r="F423" s="5"/>
    </row>
    <row r="424">
      <c r="A424" s="1"/>
      <c r="B424" s="5"/>
      <c r="C424" s="5"/>
      <c r="D424" s="5"/>
      <c r="E424" s="5"/>
      <c r="F424" s="5"/>
    </row>
    <row r="425">
      <c r="A425" s="1"/>
      <c r="B425" s="5"/>
      <c r="C425" s="5"/>
      <c r="D425" s="5"/>
      <c r="E425" s="5"/>
      <c r="F425" s="5"/>
    </row>
    <row r="426">
      <c r="A426" s="1"/>
      <c r="B426" s="5"/>
      <c r="C426" s="5"/>
      <c r="D426" s="5"/>
      <c r="E426" s="5"/>
      <c r="F426" s="5"/>
    </row>
    <row r="427">
      <c r="A427" s="1"/>
      <c r="B427" s="5"/>
      <c r="C427" s="5"/>
      <c r="D427" s="5"/>
      <c r="E427" s="5"/>
      <c r="F427" s="5"/>
    </row>
    <row r="428">
      <c r="A428" s="1"/>
      <c r="B428" s="5"/>
      <c r="C428" s="5"/>
      <c r="D428" s="5"/>
      <c r="E428" s="5"/>
      <c r="F428" s="5"/>
    </row>
    <row r="429">
      <c r="A429" s="1"/>
      <c r="B429" s="5"/>
      <c r="C429" s="5"/>
      <c r="D429" s="5"/>
      <c r="E429" s="5"/>
      <c r="F429" s="5"/>
    </row>
    <row r="430">
      <c r="A430" s="1"/>
      <c r="B430" s="5"/>
      <c r="C430" s="5"/>
      <c r="D430" s="5"/>
      <c r="E430" s="5"/>
      <c r="F430" s="5"/>
    </row>
    <row r="431">
      <c r="A431" s="1"/>
      <c r="B431" s="5"/>
      <c r="C431" s="5"/>
      <c r="D431" s="5"/>
      <c r="E431" s="5"/>
      <c r="F431" s="5"/>
    </row>
    <row r="432">
      <c r="A432" s="1"/>
      <c r="B432" s="5"/>
      <c r="C432" s="5"/>
      <c r="D432" s="5"/>
      <c r="E432" s="5"/>
      <c r="F432" s="5"/>
    </row>
    <row r="433">
      <c r="A433" s="1"/>
      <c r="B433" s="5"/>
      <c r="C433" s="5"/>
      <c r="D433" s="5"/>
      <c r="E433" s="5"/>
      <c r="F433" s="5"/>
    </row>
    <row r="434">
      <c r="A434" s="1"/>
      <c r="B434" s="5"/>
      <c r="C434" s="5"/>
      <c r="D434" s="5"/>
      <c r="E434" s="5"/>
      <c r="F434" s="5"/>
    </row>
    <row r="435">
      <c r="A435" s="1"/>
      <c r="B435" s="5"/>
      <c r="C435" s="5"/>
      <c r="D435" s="5"/>
      <c r="E435" s="5"/>
      <c r="F435" s="5"/>
    </row>
    <row r="436">
      <c r="A436" s="1"/>
      <c r="B436" s="5"/>
      <c r="C436" s="5"/>
      <c r="D436" s="5"/>
      <c r="E436" s="5"/>
      <c r="F436" s="5"/>
    </row>
    <row r="437">
      <c r="A437" s="1"/>
      <c r="B437" s="5"/>
      <c r="C437" s="5"/>
      <c r="D437" s="5"/>
      <c r="E437" s="5"/>
      <c r="F437" s="5"/>
    </row>
    <row r="438">
      <c r="A438" s="1"/>
      <c r="B438" s="5"/>
      <c r="C438" s="5"/>
      <c r="D438" s="5"/>
      <c r="E438" s="5"/>
      <c r="F438" s="5"/>
    </row>
    <row r="439">
      <c r="A439" s="1"/>
      <c r="B439" s="5"/>
      <c r="C439" s="5"/>
      <c r="D439" s="5"/>
      <c r="E439" s="5"/>
      <c r="F439" s="5"/>
    </row>
    <row r="440">
      <c r="A440" s="1"/>
      <c r="B440" s="5"/>
      <c r="C440" s="5"/>
      <c r="D440" s="5"/>
      <c r="E440" s="5"/>
      <c r="F440" s="5"/>
    </row>
    <row r="441">
      <c r="A441" s="1"/>
      <c r="B441" s="5"/>
      <c r="C441" s="5"/>
      <c r="D441" s="5"/>
      <c r="E441" s="5"/>
      <c r="F441" s="5"/>
    </row>
    <row r="442">
      <c r="A442" s="1"/>
      <c r="B442" s="5"/>
      <c r="C442" s="5"/>
      <c r="D442" s="5"/>
      <c r="E442" s="5"/>
      <c r="F442" s="5"/>
    </row>
    <row r="443">
      <c r="A443" s="1"/>
      <c r="B443" s="5"/>
      <c r="C443" s="5"/>
      <c r="D443" s="5"/>
      <c r="E443" s="5"/>
      <c r="F443" s="5"/>
    </row>
    <row r="444">
      <c r="A444" s="1"/>
      <c r="B444" s="5"/>
      <c r="C444" s="5"/>
      <c r="D444" s="5"/>
      <c r="E444" s="5"/>
      <c r="F444" s="5"/>
    </row>
    <row r="445">
      <c r="A445" s="1"/>
      <c r="B445" s="5"/>
      <c r="C445" s="5"/>
      <c r="D445" s="5"/>
      <c r="E445" s="5"/>
      <c r="F445" s="5"/>
    </row>
    <row r="446">
      <c r="A446" s="1"/>
      <c r="B446" s="5"/>
      <c r="C446" s="5"/>
      <c r="D446" s="5"/>
      <c r="E446" s="5"/>
      <c r="F446" s="5"/>
    </row>
    <row r="447">
      <c r="A447" s="1"/>
      <c r="B447" s="5"/>
      <c r="C447" s="5"/>
      <c r="D447" s="5"/>
      <c r="E447" s="5"/>
      <c r="F447" s="5"/>
    </row>
    <row r="448">
      <c r="A448" s="1"/>
      <c r="B448" s="5"/>
      <c r="C448" s="5"/>
      <c r="D448" s="5"/>
      <c r="E448" s="5"/>
      <c r="F448" s="5"/>
    </row>
    <row r="449">
      <c r="A449" s="1"/>
      <c r="B449" s="5"/>
      <c r="C449" s="5"/>
      <c r="D449" s="5"/>
      <c r="E449" s="5"/>
      <c r="F449" s="5"/>
    </row>
    <row r="450">
      <c r="A450" s="1"/>
      <c r="B450" s="5"/>
      <c r="C450" s="5"/>
      <c r="D450" s="5"/>
      <c r="E450" s="5"/>
      <c r="F450" s="5"/>
    </row>
    <row r="451">
      <c r="A451" s="1"/>
      <c r="B451" s="5"/>
      <c r="C451" s="5"/>
      <c r="D451" s="5"/>
      <c r="E451" s="5"/>
      <c r="F451" s="5"/>
    </row>
    <row r="452">
      <c r="A452" s="1"/>
      <c r="B452" s="5"/>
      <c r="C452" s="5"/>
      <c r="D452" s="5"/>
      <c r="E452" s="5"/>
      <c r="F452" s="5"/>
    </row>
    <row r="453">
      <c r="A453" s="1"/>
      <c r="B453" s="5"/>
      <c r="C453" s="5"/>
      <c r="D453" s="5"/>
      <c r="E453" s="5"/>
      <c r="F453" s="5"/>
    </row>
    <row r="454">
      <c r="A454" s="1"/>
      <c r="B454" s="5"/>
      <c r="C454" s="5"/>
      <c r="D454" s="5"/>
      <c r="E454" s="5"/>
      <c r="F454" s="5"/>
    </row>
    <row r="455">
      <c r="A455" s="1"/>
      <c r="B455" s="5"/>
      <c r="C455" s="5"/>
      <c r="D455" s="5"/>
      <c r="E455" s="5"/>
      <c r="F455" s="5"/>
    </row>
    <row r="456">
      <c r="A456" s="1"/>
      <c r="B456" s="5"/>
      <c r="C456" s="5"/>
      <c r="D456" s="5"/>
      <c r="E456" s="5"/>
      <c r="F456" s="5"/>
    </row>
    <row r="457">
      <c r="A457" s="1"/>
      <c r="B457" s="5"/>
      <c r="C457" s="5"/>
      <c r="D457" s="5"/>
      <c r="E457" s="5"/>
      <c r="F457" s="5"/>
    </row>
    <row r="458">
      <c r="A458" s="1"/>
      <c r="B458" s="5"/>
      <c r="C458" s="5"/>
      <c r="D458" s="5"/>
      <c r="E458" s="5"/>
      <c r="F458" s="5"/>
    </row>
    <row r="459">
      <c r="A459" s="1"/>
      <c r="B459" s="5"/>
      <c r="C459" s="5"/>
      <c r="D459" s="5"/>
      <c r="E459" s="5"/>
      <c r="F459" s="5"/>
    </row>
    <row r="460">
      <c r="A460" s="1"/>
      <c r="B460" s="5"/>
      <c r="C460" s="5"/>
      <c r="D460" s="5"/>
      <c r="E460" s="5"/>
      <c r="F460" s="5"/>
    </row>
    <row r="461">
      <c r="A461" s="1"/>
      <c r="B461" s="5"/>
      <c r="C461" s="5"/>
      <c r="D461" s="5"/>
      <c r="E461" s="5"/>
      <c r="F461" s="5"/>
    </row>
    <row r="462">
      <c r="A462" s="1"/>
      <c r="B462" s="5"/>
      <c r="C462" s="5"/>
      <c r="D462" s="5"/>
      <c r="E462" s="5"/>
      <c r="F462" s="5"/>
    </row>
    <row r="463">
      <c r="A463" s="1"/>
      <c r="B463" s="5"/>
      <c r="C463" s="5"/>
      <c r="D463" s="5"/>
      <c r="E463" s="5"/>
      <c r="F463" s="5"/>
    </row>
    <row r="464">
      <c r="A464" s="1"/>
      <c r="B464" s="5"/>
      <c r="C464" s="5"/>
      <c r="D464" s="5"/>
      <c r="E464" s="5"/>
      <c r="F464" s="5"/>
    </row>
    <row r="465">
      <c r="A465" s="1"/>
      <c r="B465" s="5"/>
      <c r="C465" s="5"/>
      <c r="D465" s="5"/>
      <c r="E465" s="5"/>
      <c r="F465" s="5"/>
    </row>
    <row r="466">
      <c r="A466" s="1"/>
      <c r="B466" s="5"/>
      <c r="C466" s="5"/>
      <c r="D466" s="5"/>
      <c r="E466" s="5"/>
      <c r="F466" s="5"/>
    </row>
    <row r="467">
      <c r="A467" s="1"/>
      <c r="B467" s="5"/>
      <c r="C467" s="5"/>
      <c r="D467" s="5"/>
      <c r="E467" s="5"/>
      <c r="F467" s="5"/>
    </row>
    <row r="468">
      <c r="A468" s="1"/>
      <c r="B468" s="5"/>
      <c r="C468" s="5"/>
      <c r="D468" s="5"/>
      <c r="E468" s="5"/>
      <c r="F468" s="5"/>
    </row>
    <row r="469">
      <c r="A469" s="1"/>
      <c r="B469" s="5"/>
      <c r="C469" s="5"/>
      <c r="D469" s="5"/>
      <c r="E469" s="5"/>
      <c r="F469" s="5"/>
    </row>
    <row r="470">
      <c r="A470" s="1"/>
      <c r="B470" s="5"/>
      <c r="C470" s="5"/>
      <c r="D470" s="5"/>
      <c r="E470" s="5"/>
      <c r="F470" s="5"/>
    </row>
    <row r="471">
      <c r="A471" s="1"/>
      <c r="B471" s="5"/>
      <c r="C471" s="5"/>
      <c r="D471" s="5"/>
      <c r="E471" s="5"/>
      <c r="F471" s="5"/>
    </row>
    <row r="472">
      <c r="A472" s="1"/>
      <c r="B472" s="5"/>
      <c r="C472" s="5"/>
      <c r="D472" s="5"/>
      <c r="E472" s="5"/>
      <c r="F472" s="5"/>
    </row>
    <row r="473">
      <c r="A473" s="1"/>
      <c r="B473" s="5"/>
      <c r="C473" s="5"/>
      <c r="D473" s="5"/>
      <c r="E473" s="5"/>
      <c r="F473" s="5"/>
    </row>
    <row r="474">
      <c r="A474" s="1"/>
      <c r="B474" s="5"/>
      <c r="C474" s="5"/>
      <c r="D474" s="5"/>
      <c r="E474" s="5"/>
      <c r="F474" s="5"/>
    </row>
    <row r="475">
      <c r="A475" s="1"/>
      <c r="B475" s="5"/>
      <c r="C475" s="5"/>
      <c r="D475" s="5"/>
      <c r="E475" s="5"/>
      <c r="F475" s="5"/>
    </row>
    <row r="476">
      <c r="A476" s="1"/>
      <c r="B476" s="5"/>
      <c r="C476" s="5"/>
      <c r="D476" s="5"/>
      <c r="E476" s="5"/>
      <c r="F476" s="5"/>
    </row>
    <row r="477">
      <c r="A477" s="1"/>
      <c r="B477" s="5"/>
      <c r="C477" s="5"/>
      <c r="D477" s="5"/>
      <c r="E477" s="5"/>
      <c r="F477" s="5"/>
    </row>
    <row r="478">
      <c r="A478" s="1"/>
      <c r="B478" s="5"/>
      <c r="C478" s="5"/>
      <c r="D478" s="5"/>
      <c r="E478" s="5"/>
      <c r="F478" s="5"/>
    </row>
    <row r="479">
      <c r="A479" s="1"/>
      <c r="B479" s="5"/>
      <c r="C479" s="5"/>
      <c r="D479" s="5"/>
      <c r="E479" s="5"/>
      <c r="F479" s="5"/>
    </row>
    <row r="480">
      <c r="A480" s="1"/>
      <c r="B480" s="5"/>
      <c r="C480" s="5"/>
      <c r="D480" s="5"/>
      <c r="E480" s="5"/>
      <c r="F480" s="5"/>
    </row>
    <row r="481">
      <c r="A481" s="1"/>
      <c r="B481" s="5"/>
      <c r="C481" s="5"/>
      <c r="D481" s="5"/>
      <c r="E481" s="5"/>
      <c r="F481" s="5"/>
    </row>
    <row r="482">
      <c r="A482" s="1"/>
      <c r="B482" s="5"/>
      <c r="C482" s="5"/>
      <c r="D482" s="5"/>
      <c r="E482" s="5"/>
      <c r="F482" s="5"/>
    </row>
    <row r="483">
      <c r="A483" s="1"/>
      <c r="B483" s="5"/>
      <c r="C483" s="5"/>
      <c r="D483" s="5"/>
      <c r="E483" s="5"/>
      <c r="F483" s="5"/>
    </row>
    <row r="484">
      <c r="A484" s="1"/>
      <c r="B484" s="5"/>
      <c r="C484" s="5"/>
      <c r="D484" s="5"/>
      <c r="E484" s="5"/>
      <c r="F484" s="5"/>
    </row>
    <row r="485">
      <c r="A485" s="1"/>
      <c r="B485" s="5"/>
      <c r="C485" s="5"/>
      <c r="D485" s="5"/>
      <c r="E485" s="5"/>
      <c r="F485" s="5"/>
    </row>
    <row r="486">
      <c r="A486" s="1"/>
      <c r="B486" s="5"/>
      <c r="C486" s="5"/>
      <c r="D486" s="5"/>
      <c r="E486" s="5"/>
      <c r="F486" s="5"/>
    </row>
    <row r="487">
      <c r="A487" s="1"/>
      <c r="B487" s="5"/>
      <c r="C487" s="5"/>
      <c r="D487" s="5"/>
      <c r="E487" s="5"/>
      <c r="F487" s="5"/>
    </row>
    <row r="488">
      <c r="A488" s="1"/>
      <c r="B488" s="5"/>
      <c r="C488" s="5"/>
      <c r="D488" s="5"/>
      <c r="E488" s="5"/>
      <c r="F488" s="5"/>
    </row>
    <row r="489">
      <c r="A489" s="1"/>
      <c r="B489" s="5"/>
      <c r="C489" s="5"/>
      <c r="D489" s="5"/>
      <c r="E489" s="5"/>
      <c r="F489" s="5"/>
    </row>
    <row r="490">
      <c r="A490" s="1"/>
      <c r="B490" s="5"/>
      <c r="C490" s="5"/>
      <c r="D490" s="5"/>
      <c r="E490" s="5"/>
      <c r="F490" s="5"/>
    </row>
    <row r="491">
      <c r="A491" s="1"/>
      <c r="B491" s="5"/>
      <c r="C491" s="5"/>
      <c r="D491" s="5"/>
      <c r="E491" s="5"/>
      <c r="F491" s="5"/>
    </row>
    <row r="492">
      <c r="A492" s="1"/>
      <c r="B492" s="5"/>
      <c r="C492" s="5"/>
      <c r="D492" s="5"/>
      <c r="E492" s="5"/>
      <c r="F492" s="5"/>
    </row>
    <row r="493">
      <c r="A493" s="1"/>
      <c r="B493" s="5"/>
      <c r="C493" s="5"/>
      <c r="D493" s="5"/>
      <c r="E493" s="5"/>
      <c r="F493" s="5"/>
    </row>
    <row r="494">
      <c r="A494" s="1"/>
      <c r="B494" s="5"/>
      <c r="C494" s="5"/>
      <c r="D494" s="5"/>
      <c r="E494" s="5"/>
      <c r="F494" s="5"/>
    </row>
    <row r="495">
      <c r="A495" s="1"/>
      <c r="B495" s="5"/>
      <c r="C495" s="5"/>
      <c r="D495" s="5"/>
      <c r="E495" s="5"/>
      <c r="F495" s="5"/>
    </row>
    <row r="496">
      <c r="A496" s="1"/>
      <c r="B496" s="5"/>
      <c r="C496" s="5"/>
      <c r="D496" s="5"/>
      <c r="E496" s="5"/>
      <c r="F496" s="5"/>
    </row>
    <row r="497">
      <c r="A497" s="1"/>
      <c r="B497" s="5"/>
      <c r="C497" s="5"/>
      <c r="D497" s="5"/>
      <c r="E497" s="5"/>
      <c r="F497" s="5"/>
    </row>
    <row r="498">
      <c r="A498" s="1"/>
      <c r="B498" s="5"/>
      <c r="C498" s="5"/>
      <c r="D498" s="5"/>
      <c r="E498" s="5"/>
      <c r="F498" s="5"/>
    </row>
    <row r="499">
      <c r="A499" s="1"/>
      <c r="B499" s="5"/>
      <c r="C499" s="5"/>
      <c r="D499" s="5"/>
      <c r="E499" s="5"/>
      <c r="F499" s="5"/>
    </row>
    <row r="500">
      <c r="A500" s="1"/>
      <c r="B500" s="5"/>
      <c r="C500" s="5"/>
      <c r="D500" s="5"/>
      <c r="E500" s="5"/>
      <c r="F500" s="5"/>
    </row>
    <row r="501">
      <c r="A501" s="1"/>
      <c r="B501" s="5"/>
      <c r="C501" s="5"/>
      <c r="D501" s="5"/>
      <c r="E501" s="5"/>
      <c r="F501" s="5"/>
    </row>
    <row r="502">
      <c r="A502" s="1"/>
      <c r="B502" s="5"/>
      <c r="C502" s="5"/>
      <c r="D502" s="5"/>
      <c r="E502" s="5"/>
      <c r="F502" s="5"/>
    </row>
    <row r="503">
      <c r="A503" s="1"/>
      <c r="B503" s="5"/>
      <c r="C503" s="5"/>
      <c r="D503" s="5"/>
      <c r="E503" s="5"/>
      <c r="F503" s="5"/>
    </row>
    <row r="504">
      <c r="A504" s="1"/>
      <c r="B504" s="5"/>
      <c r="C504" s="5"/>
      <c r="D504" s="5"/>
      <c r="E504" s="5"/>
      <c r="F504" s="5"/>
    </row>
    <row r="505">
      <c r="A505" s="1"/>
      <c r="B505" s="5"/>
      <c r="C505" s="5"/>
      <c r="D505" s="5"/>
      <c r="E505" s="5"/>
      <c r="F505" s="5"/>
    </row>
    <row r="506">
      <c r="A506" s="1"/>
      <c r="B506" s="5"/>
      <c r="C506" s="5"/>
      <c r="D506" s="5"/>
      <c r="E506" s="5"/>
      <c r="F506" s="5"/>
    </row>
    <row r="507">
      <c r="A507" s="1"/>
      <c r="B507" s="5"/>
      <c r="C507" s="5"/>
      <c r="D507" s="5"/>
      <c r="E507" s="5"/>
      <c r="F507" s="5"/>
    </row>
    <row r="508">
      <c r="A508" s="1"/>
      <c r="B508" s="5"/>
      <c r="C508" s="5"/>
      <c r="D508" s="5"/>
      <c r="E508" s="5"/>
      <c r="F508" s="5"/>
    </row>
    <row r="509">
      <c r="A509" s="1"/>
      <c r="B509" s="5"/>
      <c r="C509" s="5"/>
      <c r="D509" s="5"/>
      <c r="E509" s="5"/>
      <c r="F509" s="5"/>
    </row>
    <row r="510">
      <c r="A510" s="1"/>
      <c r="B510" s="5"/>
      <c r="C510" s="5"/>
      <c r="D510" s="5"/>
      <c r="E510" s="5"/>
      <c r="F510" s="5"/>
    </row>
    <row r="511">
      <c r="A511" s="1"/>
      <c r="B511" s="5"/>
      <c r="C511" s="5"/>
      <c r="D511" s="5"/>
      <c r="E511" s="5"/>
      <c r="F511" s="5"/>
    </row>
    <row r="512">
      <c r="A512" s="1"/>
      <c r="B512" s="5"/>
      <c r="C512" s="5"/>
      <c r="D512" s="5"/>
      <c r="E512" s="5"/>
      <c r="F512" s="5"/>
    </row>
    <row r="513">
      <c r="A513" s="1"/>
      <c r="B513" s="5"/>
      <c r="C513" s="5"/>
      <c r="D513" s="5"/>
      <c r="E513" s="5"/>
      <c r="F513" s="5"/>
    </row>
    <row r="514">
      <c r="A514" s="1"/>
      <c r="B514" s="5"/>
      <c r="C514" s="5"/>
      <c r="D514" s="5"/>
      <c r="E514" s="5"/>
      <c r="F514" s="5"/>
    </row>
    <row r="515">
      <c r="A515" s="1"/>
      <c r="B515" s="5"/>
      <c r="C515" s="5"/>
      <c r="D515" s="5"/>
      <c r="E515" s="5"/>
      <c r="F515" s="5"/>
    </row>
    <row r="516">
      <c r="A516" s="1"/>
      <c r="B516" s="5"/>
      <c r="C516" s="5"/>
      <c r="D516" s="5"/>
      <c r="E516" s="5"/>
      <c r="F516" s="5"/>
    </row>
    <row r="517">
      <c r="A517" s="1"/>
      <c r="B517" s="5"/>
      <c r="C517" s="5"/>
      <c r="D517" s="5"/>
      <c r="E517" s="5"/>
      <c r="F517" s="5"/>
    </row>
    <row r="518">
      <c r="A518" s="1"/>
      <c r="B518" s="5"/>
      <c r="C518" s="5"/>
      <c r="D518" s="5"/>
      <c r="E518" s="5"/>
      <c r="F518" s="5"/>
    </row>
    <row r="519">
      <c r="A519" s="1"/>
      <c r="B519" s="5"/>
      <c r="C519" s="5"/>
      <c r="D519" s="5"/>
      <c r="E519" s="5"/>
      <c r="F519" s="5"/>
    </row>
    <row r="520">
      <c r="A520" s="1"/>
      <c r="B520" s="5"/>
      <c r="C520" s="5"/>
      <c r="D520" s="5"/>
      <c r="E520" s="5"/>
      <c r="F520" s="5"/>
    </row>
    <row r="521">
      <c r="A521" s="1"/>
      <c r="B521" s="5"/>
      <c r="C521" s="5"/>
      <c r="D521" s="5"/>
      <c r="E521" s="5"/>
      <c r="F521" s="5"/>
    </row>
    <row r="522">
      <c r="A522" s="1"/>
      <c r="B522" s="5"/>
      <c r="C522" s="5"/>
      <c r="D522" s="5"/>
      <c r="E522" s="5"/>
      <c r="F522" s="5"/>
    </row>
    <row r="523">
      <c r="A523" s="1"/>
      <c r="B523" s="5"/>
      <c r="C523" s="5"/>
      <c r="D523" s="5"/>
      <c r="E523" s="5"/>
      <c r="F523" s="5"/>
    </row>
    <row r="524">
      <c r="A524" s="1"/>
      <c r="B524" s="5"/>
      <c r="C524" s="5"/>
      <c r="D524" s="5"/>
      <c r="E524" s="5"/>
      <c r="F524" s="5"/>
    </row>
    <row r="525">
      <c r="A525" s="1"/>
      <c r="B525" s="5"/>
      <c r="C525" s="5"/>
      <c r="D525" s="5"/>
      <c r="E525" s="5"/>
      <c r="F525" s="5"/>
    </row>
    <row r="526">
      <c r="A526" s="1"/>
      <c r="B526" s="5"/>
      <c r="C526" s="5"/>
      <c r="D526" s="5"/>
      <c r="E526" s="5"/>
      <c r="F526" s="5"/>
    </row>
    <row r="527">
      <c r="A527" s="1"/>
      <c r="B527" s="5"/>
      <c r="C527" s="5"/>
      <c r="D527" s="5"/>
      <c r="E527" s="5"/>
      <c r="F527" s="5"/>
    </row>
    <row r="528">
      <c r="A528" s="1"/>
      <c r="B528" s="5"/>
      <c r="C528" s="5"/>
      <c r="D528" s="5"/>
      <c r="E528" s="5"/>
      <c r="F528" s="5"/>
    </row>
    <row r="529">
      <c r="A529" s="1"/>
      <c r="B529" s="5"/>
      <c r="C529" s="5"/>
      <c r="D529" s="5"/>
      <c r="E529" s="5"/>
      <c r="F529" s="5"/>
    </row>
    <row r="530">
      <c r="A530" s="1"/>
      <c r="B530" s="5"/>
      <c r="C530" s="5"/>
      <c r="D530" s="5"/>
      <c r="E530" s="5"/>
      <c r="F530" s="5"/>
    </row>
    <row r="531">
      <c r="A531" s="1"/>
      <c r="B531" s="5"/>
      <c r="C531" s="5"/>
      <c r="D531" s="5"/>
      <c r="E531" s="5"/>
      <c r="F531" s="5"/>
    </row>
    <row r="532">
      <c r="A532" s="1"/>
      <c r="B532" s="5"/>
      <c r="C532" s="5"/>
      <c r="D532" s="5"/>
      <c r="E532" s="5"/>
      <c r="F532" s="5"/>
    </row>
    <row r="533">
      <c r="A533" s="1"/>
      <c r="B533" s="5"/>
      <c r="C533" s="5"/>
      <c r="D533" s="5"/>
      <c r="E533" s="5"/>
      <c r="F533" s="5"/>
    </row>
    <row r="534">
      <c r="A534" s="1"/>
      <c r="B534" s="5"/>
      <c r="C534" s="5"/>
      <c r="D534" s="5"/>
      <c r="E534" s="5"/>
      <c r="F534" s="5"/>
    </row>
    <row r="535">
      <c r="A535" s="1"/>
      <c r="B535" s="5"/>
      <c r="C535" s="5"/>
      <c r="D535" s="5"/>
      <c r="E535" s="5"/>
      <c r="F535" s="5"/>
    </row>
    <row r="536">
      <c r="A536" s="1"/>
      <c r="B536" s="5"/>
      <c r="C536" s="5"/>
      <c r="D536" s="5"/>
      <c r="E536" s="5"/>
      <c r="F536" s="5"/>
    </row>
    <row r="537">
      <c r="A537" s="1"/>
      <c r="B537" s="5"/>
      <c r="C537" s="5"/>
      <c r="D537" s="5"/>
      <c r="E537" s="5"/>
      <c r="F537" s="5"/>
    </row>
    <row r="538">
      <c r="A538" s="1"/>
      <c r="B538" s="5"/>
      <c r="C538" s="5"/>
      <c r="D538" s="5"/>
      <c r="E538" s="5"/>
      <c r="F538" s="5"/>
    </row>
    <row r="539">
      <c r="A539" s="1"/>
      <c r="B539" s="5"/>
      <c r="C539" s="5"/>
      <c r="D539" s="5"/>
      <c r="E539" s="5"/>
      <c r="F539" s="5"/>
    </row>
    <row r="540">
      <c r="A540" s="1"/>
      <c r="B540" s="5"/>
      <c r="C540" s="5"/>
      <c r="D540" s="5"/>
      <c r="E540" s="5"/>
      <c r="F540" s="5"/>
    </row>
    <row r="541">
      <c r="A541" s="1"/>
      <c r="B541" s="5"/>
      <c r="C541" s="5"/>
      <c r="D541" s="5"/>
      <c r="E541" s="5"/>
      <c r="F541" s="5"/>
    </row>
    <row r="542">
      <c r="A542" s="1"/>
      <c r="B542" s="5"/>
      <c r="C542" s="5"/>
      <c r="D542" s="5"/>
      <c r="E542" s="5"/>
      <c r="F542" s="5"/>
    </row>
    <row r="543">
      <c r="A543" s="1"/>
      <c r="B543" s="5"/>
      <c r="C543" s="5"/>
      <c r="D543" s="5"/>
      <c r="E543" s="5"/>
      <c r="F543" s="5"/>
    </row>
    <row r="544">
      <c r="A544" s="1"/>
      <c r="B544" s="5"/>
      <c r="C544" s="5"/>
      <c r="D544" s="5"/>
      <c r="E544" s="5"/>
      <c r="F544" s="5"/>
    </row>
    <row r="545">
      <c r="A545" s="1"/>
      <c r="B545" s="5"/>
      <c r="C545" s="5"/>
      <c r="D545" s="5"/>
      <c r="E545" s="5"/>
      <c r="F545" s="5"/>
    </row>
    <row r="546">
      <c r="A546" s="1"/>
      <c r="B546" s="5"/>
      <c r="C546" s="5"/>
      <c r="D546" s="5"/>
      <c r="E546" s="5"/>
      <c r="F546" s="5"/>
    </row>
    <row r="547">
      <c r="A547" s="1"/>
      <c r="B547" s="5"/>
      <c r="C547" s="5"/>
      <c r="D547" s="5"/>
      <c r="E547" s="5"/>
      <c r="F547" s="5"/>
    </row>
    <row r="548">
      <c r="A548" s="1"/>
      <c r="B548" s="5"/>
      <c r="C548" s="5"/>
      <c r="D548" s="5"/>
      <c r="E548" s="5"/>
      <c r="F548" s="5"/>
    </row>
    <row r="549">
      <c r="A549" s="1"/>
      <c r="B549" s="5"/>
      <c r="C549" s="5"/>
      <c r="D549" s="5"/>
      <c r="E549" s="5"/>
      <c r="F549" s="5"/>
    </row>
    <row r="550">
      <c r="A550" s="1"/>
      <c r="B550" s="5"/>
      <c r="C550" s="5"/>
      <c r="D550" s="5"/>
      <c r="E550" s="5"/>
      <c r="F550" s="5"/>
    </row>
    <row r="551">
      <c r="A551" s="1"/>
      <c r="B551" s="5"/>
      <c r="C551" s="5"/>
      <c r="D551" s="5"/>
      <c r="E551" s="5"/>
      <c r="F551" s="5"/>
    </row>
    <row r="552">
      <c r="A552" s="1"/>
      <c r="B552" s="5"/>
      <c r="C552" s="5"/>
      <c r="D552" s="5"/>
      <c r="E552" s="5"/>
      <c r="F552" s="5"/>
    </row>
    <row r="553">
      <c r="A553" s="1"/>
      <c r="B553" s="5"/>
      <c r="C553" s="5"/>
      <c r="D553" s="5"/>
      <c r="E553" s="5"/>
      <c r="F553" s="5"/>
    </row>
    <row r="554">
      <c r="A554" s="1"/>
      <c r="B554" s="5"/>
      <c r="C554" s="5"/>
      <c r="D554" s="5"/>
      <c r="E554" s="5"/>
      <c r="F554" s="5"/>
    </row>
    <row r="555">
      <c r="A555" s="1"/>
      <c r="B555" s="5"/>
      <c r="C555" s="5"/>
      <c r="D555" s="5"/>
      <c r="E555" s="5"/>
      <c r="F555" s="5"/>
    </row>
    <row r="556">
      <c r="A556" s="1"/>
      <c r="B556" s="5"/>
      <c r="C556" s="5"/>
      <c r="D556" s="5"/>
      <c r="E556" s="5"/>
      <c r="F556" s="5"/>
    </row>
    <row r="557">
      <c r="A557" s="1"/>
      <c r="B557" s="5"/>
      <c r="C557" s="5"/>
      <c r="D557" s="5"/>
      <c r="E557" s="5"/>
      <c r="F557" s="5"/>
    </row>
    <row r="558">
      <c r="A558" s="1"/>
      <c r="B558" s="5"/>
      <c r="C558" s="5"/>
      <c r="D558" s="5"/>
      <c r="E558" s="5"/>
      <c r="F558" s="5"/>
    </row>
    <row r="559">
      <c r="A559" s="1"/>
      <c r="B559" s="5"/>
      <c r="C559" s="5"/>
      <c r="D559" s="5"/>
      <c r="E559" s="5"/>
      <c r="F559" s="5"/>
    </row>
    <row r="560">
      <c r="A560" s="1"/>
      <c r="B560" s="5"/>
      <c r="C560" s="5"/>
      <c r="D560" s="5"/>
      <c r="E560" s="5"/>
      <c r="F560" s="5"/>
    </row>
    <row r="561">
      <c r="A561" s="1"/>
      <c r="B561" s="5"/>
      <c r="C561" s="5"/>
      <c r="D561" s="5"/>
      <c r="E561" s="5"/>
      <c r="F561" s="5"/>
    </row>
    <row r="562">
      <c r="A562" s="1"/>
      <c r="B562" s="5"/>
      <c r="C562" s="5"/>
      <c r="D562" s="5"/>
      <c r="E562" s="5"/>
      <c r="F562" s="5"/>
    </row>
    <row r="563">
      <c r="A563" s="1"/>
      <c r="B563" s="5"/>
      <c r="C563" s="5"/>
      <c r="D563" s="5"/>
      <c r="E563" s="5"/>
      <c r="F563" s="5"/>
    </row>
    <row r="564">
      <c r="A564" s="1"/>
      <c r="B564" s="5"/>
      <c r="C564" s="5"/>
      <c r="D564" s="5"/>
      <c r="E564" s="5"/>
      <c r="F564" s="5"/>
    </row>
    <row r="565">
      <c r="A565" s="1"/>
      <c r="B565" s="5"/>
      <c r="C565" s="5"/>
      <c r="D565" s="5"/>
      <c r="E565" s="5"/>
      <c r="F565" s="5"/>
    </row>
    <row r="566">
      <c r="A566" s="1"/>
      <c r="B566" s="5"/>
      <c r="C566" s="5"/>
      <c r="D566" s="5"/>
      <c r="E566" s="5"/>
      <c r="F566" s="5"/>
    </row>
    <row r="567">
      <c r="A567" s="1"/>
      <c r="B567" s="5"/>
      <c r="C567" s="5"/>
      <c r="D567" s="5"/>
      <c r="E567" s="5"/>
      <c r="F567" s="5"/>
    </row>
    <row r="568">
      <c r="A568" s="1"/>
      <c r="B568" s="5"/>
      <c r="C568" s="5"/>
      <c r="D568" s="5"/>
      <c r="E568" s="5"/>
      <c r="F568" s="5"/>
    </row>
    <row r="569">
      <c r="A569" s="1"/>
      <c r="B569" s="5"/>
      <c r="C569" s="5"/>
      <c r="D569" s="5"/>
      <c r="E569" s="5"/>
      <c r="F569" s="5"/>
    </row>
    <row r="570">
      <c r="A570" s="1"/>
      <c r="B570" s="5"/>
      <c r="C570" s="5"/>
      <c r="D570" s="5"/>
      <c r="E570" s="5"/>
      <c r="F570" s="5"/>
    </row>
    <row r="571">
      <c r="A571" s="1"/>
      <c r="B571" s="5"/>
      <c r="C571" s="5"/>
      <c r="D571" s="5"/>
      <c r="E571" s="5"/>
      <c r="F571" s="5"/>
    </row>
    <row r="572">
      <c r="A572" s="1"/>
      <c r="B572" s="5"/>
      <c r="C572" s="5"/>
      <c r="D572" s="5"/>
      <c r="E572" s="5"/>
      <c r="F572" s="5"/>
    </row>
    <row r="573">
      <c r="A573" s="1"/>
      <c r="B573" s="5"/>
      <c r="C573" s="5"/>
      <c r="D573" s="5"/>
      <c r="E573" s="5"/>
      <c r="F573" s="5"/>
    </row>
    <row r="574">
      <c r="A574" s="1"/>
      <c r="B574" s="5"/>
      <c r="C574" s="5"/>
      <c r="D574" s="5"/>
      <c r="E574" s="5"/>
      <c r="F574" s="5"/>
    </row>
    <row r="575">
      <c r="A575" s="1"/>
      <c r="B575" s="5"/>
      <c r="C575" s="5"/>
      <c r="D575" s="5"/>
      <c r="E575" s="5"/>
      <c r="F575" s="5"/>
    </row>
    <row r="576">
      <c r="A576" s="1"/>
      <c r="B576" s="5"/>
      <c r="C576" s="5"/>
      <c r="D576" s="5"/>
      <c r="E576" s="5"/>
      <c r="F576" s="5"/>
    </row>
    <row r="577">
      <c r="A577" s="1"/>
      <c r="B577" s="5"/>
      <c r="C577" s="5"/>
      <c r="D577" s="5"/>
      <c r="E577" s="5"/>
      <c r="F577" s="5"/>
    </row>
    <row r="578">
      <c r="A578" s="1"/>
      <c r="B578" s="5"/>
      <c r="C578" s="5"/>
      <c r="D578" s="5"/>
      <c r="E578" s="5"/>
      <c r="F578" s="5"/>
    </row>
    <row r="579">
      <c r="A579" s="1"/>
      <c r="B579" s="5"/>
      <c r="C579" s="5"/>
      <c r="D579" s="5"/>
      <c r="E579" s="5"/>
      <c r="F579" s="5"/>
    </row>
    <row r="580">
      <c r="A580" s="1"/>
      <c r="B580" s="5"/>
      <c r="C580" s="5"/>
      <c r="D580" s="5"/>
      <c r="E580" s="5"/>
      <c r="F580" s="5"/>
    </row>
    <row r="581">
      <c r="A581" s="1"/>
      <c r="B581" s="5"/>
      <c r="C581" s="5"/>
      <c r="D581" s="5"/>
      <c r="E581" s="5"/>
      <c r="F581" s="5"/>
    </row>
    <row r="582">
      <c r="A582" s="1"/>
      <c r="B582" s="5"/>
      <c r="C582" s="5"/>
      <c r="D582" s="5"/>
      <c r="E582" s="5"/>
      <c r="F582" s="5"/>
    </row>
    <row r="583">
      <c r="A583" s="1"/>
      <c r="B583" s="5"/>
      <c r="C583" s="5"/>
      <c r="D583" s="5"/>
      <c r="E583" s="5"/>
      <c r="F583" s="5"/>
    </row>
    <row r="584">
      <c r="A584" s="1"/>
      <c r="B584" s="5"/>
      <c r="C584" s="5"/>
      <c r="D584" s="5"/>
      <c r="E584" s="5"/>
      <c r="F584" s="5"/>
    </row>
    <row r="585">
      <c r="A585" s="1"/>
      <c r="B585" s="5"/>
      <c r="C585" s="5"/>
      <c r="D585" s="5"/>
      <c r="E585" s="5"/>
      <c r="F585" s="5"/>
    </row>
    <row r="586">
      <c r="A586" s="1"/>
      <c r="B586" s="5"/>
      <c r="C586" s="5"/>
      <c r="D586" s="5"/>
      <c r="E586" s="5"/>
      <c r="F586" s="5"/>
    </row>
    <row r="587">
      <c r="A587" s="1"/>
      <c r="B587" s="5"/>
      <c r="C587" s="5"/>
      <c r="D587" s="5"/>
      <c r="E587" s="5"/>
      <c r="F587" s="5"/>
    </row>
    <row r="588">
      <c r="A588" s="1"/>
      <c r="B588" s="5"/>
      <c r="C588" s="5"/>
      <c r="D588" s="5"/>
      <c r="E588" s="5"/>
      <c r="F588" s="5"/>
    </row>
    <row r="589">
      <c r="A589" s="1"/>
      <c r="B589" s="5"/>
      <c r="C589" s="5"/>
      <c r="D589" s="5"/>
      <c r="E589" s="5"/>
      <c r="F589" s="5"/>
    </row>
    <row r="590">
      <c r="A590" s="1"/>
      <c r="B590" s="5"/>
      <c r="C590" s="5"/>
      <c r="D590" s="5"/>
      <c r="E590" s="5"/>
      <c r="F590" s="5"/>
    </row>
    <row r="591">
      <c r="A591" s="1"/>
      <c r="B591" s="5"/>
      <c r="C591" s="5"/>
      <c r="D591" s="5"/>
      <c r="E591" s="5"/>
      <c r="F591" s="5"/>
    </row>
    <row r="592">
      <c r="A592" s="1"/>
      <c r="B592" s="5"/>
      <c r="C592" s="5"/>
      <c r="D592" s="5"/>
      <c r="E592" s="5"/>
      <c r="F592" s="5"/>
    </row>
    <row r="593">
      <c r="A593" s="1"/>
      <c r="B593" s="5"/>
      <c r="C593" s="5"/>
      <c r="D593" s="5"/>
      <c r="E593" s="5"/>
      <c r="F593" s="5"/>
    </row>
    <row r="594">
      <c r="A594" s="1"/>
      <c r="B594" s="5"/>
      <c r="C594" s="5"/>
      <c r="D594" s="5"/>
      <c r="E594" s="5"/>
      <c r="F594" s="5"/>
    </row>
    <row r="595">
      <c r="A595" s="1"/>
      <c r="B595" s="5"/>
      <c r="C595" s="5"/>
      <c r="D595" s="5"/>
      <c r="E595" s="5"/>
      <c r="F595" s="5"/>
    </row>
    <row r="596">
      <c r="A596" s="1"/>
      <c r="B596" s="5"/>
      <c r="C596" s="5"/>
      <c r="D596" s="5"/>
      <c r="E596" s="5"/>
      <c r="F596" s="5"/>
    </row>
    <row r="597">
      <c r="A597" s="1"/>
      <c r="B597" s="5"/>
      <c r="C597" s="5"/>
      <c r="D597" s="5"/>
      <c r="E597" s="5"/>
      <c r="F597" s="5"/>
    </row>
    <row r="598">
      <c r="A598" s="1"/>
      <c r="B598" s="5"/>
      <c r="C598" s="5"/>
      <c r="D598" s="5"/>
      <c r="E598" s="5"/>
      <c r="F598" s="5"/>
    </row>
    <row r="599">
      <c r="A599" s="1"/>
      <c r="B599" s="5"/>
      <c r="C599" s="5"/>
      <c r="D599" s="5"/>
      <c r="E599" s="5"/>
      <c r="F599" s="5"/>
    </row>
    <row r="600">
      <c r="A600" s="1"/>
      <c r="B600" s="5"/>
      <c r="C600" s="5"/>
      <c r="D600" s="5"/>
      <c r="E600" s="5"/>
      <c r="F600" s="5"/>
    </row>
    <row r="601">
      <c r="A601" s="1"/>
      <c r="B601" s="5"/>
      <c r="C601" s="5"/>
      <c r="D601" s="5"/>
      <c r="E601" s="5"/>
      <c r="F601" s="5"/>
    </row>
    <row r="602">
      <c r="A602" s="1"/>
      <c r="B602" s="5"/>
      <c r="C602" s="5"/>
      <c r="D602" s="5"/>
      <c r="E602" s="5"/>
      <c r="F602" s="5"/>
    </row>
    <row r="603">
      <c r="A603" s="1"/>
      <c r="B603" s="5"/>
      <c r="C603" s="5"/>
      <c r="D603" s="5"/>
      <c r="E603" s="5"/>
      <c r="F603" s="5"/>
    </row>
    <row r="604">
      <c r="A604" s="1"/>
      <c r="B604" s="5"/>
      <c r="C604" s="5"/>
      <c r="D604" s="5"/>
      <c r="E604" s="5"/>
      <c r="F604" s="5"/>
    </row>
    <row r="605">
      <c r="A605" s="1"/>
      <c r="B605" s="5"/>
      <c r="C605" s="5"/>
      <c r="D605" s="5"/>
      <c r="E605" s="5"/>
      <c r="F605" s="5"/>
    </row>
    <row r="606">
      <c r="A606" s="1"/>
      <c r="B606" s="5"/>
      <c r="C606" s="5"/>
      <c r="D606" s="5"/>
      <c r="E606" s="5"/>
      <c r="F606" s="5"/>
    </row>
    <row r="607">
      <c r="A607" s="1"/>
      <c r="B607" s="5"/>
      <c r="C607" s="5"/>
      <c r="D607" s="5"/>
      <c r="E607" s="5"/>
      <c r="F607" s="5"/>
    </row>
    <row r="608">
      <c r="A608" s="1"/>
      <c r="B608" s="5"/>
      <c r="C608" s="5"/>
      <c r="D608" s="5"/>
      <c r="E608" s="5"/>
      <c r="F608" s="5"/>
    </row>
    <row r="609">
      <c r="A609" s="1"/>
      <c r="B609" s="5"/>
      <c r="C609" s="5"/>
      <c r="D609" s="5"/>
      <c r="E609" s="5"/>
      <c r="F609" s="5"/>
    </row>
    <row r="610">
      <c r="A610" s="1"/>
      <c r="B610" s="5"/>
      <c r="C610" s="5"/>
      <c r="D610" s="5"/>
      <c r="E610" s="5"/>
      <c r="F610" s="5"/>
    </row>
    <row r="611">
      <c r="A611" s="1"/>
      <c r="B611" s="5"/>
      <c r="C611" s="5"/>
      <c r="D611" s="5"/>
      <c r="E611" s="5"/>
      <c r="F611" s="5"/>
    </row>
    <row r="612">
      <c r="A612" s="1"/>
      <c r="B612" s="5"/>
      <c r="C612" s="5"/>
      <c r="D612" s="5"/>
      <c r="E612" s="5"/>
      <c r="F612" s="5"/>
    </row>
    <row r="613">
      <c r="A613" s="1"/>
      <c r="B613" s="5"/>
      <c r="C613" s="5"/>
      <c r="D613" s="5"/>
      <c r="E613" s="5"/>
      <c r="F613" s="5"/>
    </row>
    <row r="614">
      <c r="A614" s="1"/>
      <c r="B614" s="5"/>
      <c r="C614" s="5"/>
      <c r="D614" s="5"/>
      <c r="E614" s="5"/>
      <c r="F614" s="5"/>
    </row>
    <row r="615">
      <c r="A615" s="1"/>
      <c r="B615" s="5"/>
      <c r="C615" s="5"/>
      <c r="D615" s="5"/>
      <c r="E615" s="5"/>
      <c r="F615" s="5"/>
    </row>
    <row r="616">
      <c r="A616" s="1"/>
      <c r="B616" s="5"/>
      <c r="C616" s="5"/>
      <c r="D616" s="5"/>
      <c r="E616" s="5"/>
      <c r="F616" s="5"/>
    </row>
    <row r="617">
      <c r="A617" s="1"/>
      <c r="B617" s="5"/>
      <c r="C617" s="5"/>
      <c r="D617" s="5"/>
      <c r="E617" s="5"/>
      <c r="F617" s="5"/>
    </row>
    <row r="618">
      <c r="A618" s="1"/>
      <c r="B618" s="5"/>
      <c r="C618" s="5"/>
      <c r="D618" s="5"/>
      <c r="E618" s="5"/>
      <c r="F618" s="5"/>
    </row>
    <row r="619">
      <c r="A619" s="1"/>
      <c r="B619" s="5"/>
      <c r="C619" s="5"/>
      <c r="D619" s="5"/>
      <c r="E619" s="5"/>
      <c r="F619" s="5"/>
    </row>
    <row r="620">
      <c r="A620" s="1"/>
      <c r="B620" s="5"/>
      <c r="C620" s="5"/>
      <c r="D620" s="5"/>
      <c r="E620" s="5"/>
      <c r="F620" s="5"/>
    </row>
    <row r="621">
      <c r="A621" s="1"/>
      <c r="B621" s="5"/>
      <c r="C621" s="5"/>
      <c r="D621" s="5"/>
      <c r="E621" s="5"/>
      <c r="F621" s="5"/>
    </row>
    <row r="622">
      <c r="A622" s="1"/>
      <c r="B622" s="5"/>
      <c r="C622" s="5"/>
      <c r="D622" s="5"/>
      <c r="E622" s="5"/>
      <c r="F622" s="5"/>
    </row>
    <row r="623">
      <c r="A623" s="1"/>
      <c r="B623" s="5"/>
      <c r="C623" s="5"/>
      <c r="D623" s="5"/>
      <c r="E623" s="5"/>
      <c r="F623" s="5"/>
    </row>
    <row r="624">
      <c r="A624" s="1"/>
      <c r="B624" s="5"/>
      <c r="C624" s="5"/>
      <c r="D624" s="5"/>
      <c r="E624" s="5"/>
      <c r="F624" s="5"/>
    </row>
    <row r="625">
      <c r="A625" s="1"/>
      <c r="B625" s="5"/>
      <c r="C625" s="5"/>
      <c r="D625" s="5"/>
      <c r="E625" s="5"/>
      <c r="F625" s="5"/>
    </row>
    <row r="626">
      <c r="A626" s="1"/>
      <c r="B626" s="5"/>
      <c r="C626" s="5"/>
      <c r="D626" s="5"/>
      <c r="E626" s="5"/>
      <c r="F626" s="5"/>
    </row>
    <row r="627">
      <c r="A627" s="1"/>
      <c r="B627" s="5"/>
      <c r="C627" s="5"/>
      <c r="D627" s="5"/>
      <c r="E627" s="5"/>
      <c r="F627" s="5"/>
    </row>
    <row r="628">
      <c r="A628" s="1"/>
      <c r="B628" s="5"/>
      <c r="C628" s="5"/>
      <c r="D628" s="5"/>
      <c r="E628" s="5"/>
      <c r="F628" s="5"/>
    </row>
    <row r="629">
      <c r="A629" s="1"/>
      <c r="B629" s="5"/>
      <c r="C629" s="5"/>
      <c r="D629" s="5"/>
      <c r="E629" s="5"/>
      <c r="F629" s="5"/>
    </row>
    <row r="630">
      <c r="A630" s="1"/>
      <c r="B630" s="5"/>
      <c r="C630" s="5"/>
      <c r="D630" s="5"/>
      <c r="E630" s="5"/>
      <c r="F630" s="5"/>
    </row>
    <row r="631">
      <c r="A631" s="1"/>
      <c r="B631" s="5"/>
      <c r="C631" s="5"/>
      <c r="D631" s="5"/>
      <c r="E631" s="5"/>
      <c r="F631" s="5"/>
    </row>
    <row r="632">
      <c r="A632" s="1"/>
      <c r="B632" s="5"/>
      <c r="C632" s="5"/>
      <c r="D632" s="5"/>
      <c r="E632" s="5"/>
      <c r="F632" s="5"/>
    </row>
    <row r="633">
      <c r="A633" s="1"/>
      <c r="B633" s="5"/>
      <c r="C633" s="5"/>
      <c r="D633" s="5"/>
      <c r="E633" s="5"/>
      <c r="F633" s="5"/>
    </row>
    <row r="634">
      <c r="A634" s="1"/>
      <c r="B634" s="5"/>
      <c r="C634" s="5"/>
      <c r="D634" s="5"/>
      <c r="E634" s="5"/>
      <c r="F634" s="5"/>
    </row>
    <row r="635">
      <c r="A635" s="1"/>
      <c r="B635" s="5"/>
      <c r="C635" s="5"/>
      <c r="D635" s="5"/>
      <c r="E635" s="5"/>
      <c r="F635" s="5"/>
    </row>
    <row r="636">
      <c r="A636" s="1"/>
      <c r="B636" s="5"/>
      <c r="C636" s="5"/>
      <c r="D636" s="5"/>
      <c r="E636" s="5"/>
      <c r="F636" s="5"/>
    </row>
    <row r="637">
      <c r="A637" s="1"/>
      <c r="B637" s="5"/>
      <c r="C637" s="5"/>
      <c r="D637" s="5"/>
      <c r="E637" s="5"/>
      <c r="F637" s="5"/>
    </row>
    <row r="638">
      <c r="A638" s="1"/>
      <c r="B638" s="5"/>
      <c r="C638" s="5"/>
      <c r="D638" s="5"/>
      <c r="E638" s="5"/>
      <c r="F638" s="5"/>
    </row>
    <row r="639">
      <c r="A639" s="1"/>
      <c r="B639" s="5"/>
      <c r="C639" s="5"/>
      <c r="D639" s="5"/>
      <c r="E639" s="5"/>
      <c r="F639" s="5"/>
    </row>
    <row r="640">
      <c r="A640" s="1"/>
      <c r="B640" s="5"/>
      <c r="C640" s="5"/>
      <c r="D640" s="5"/>
      <c r="E640" s="5"/>
      <c r="F640" s="5"/>
    </row>
    <row r="641">
      <c r="A641" s="1"/>
      <c r="B641" s="5"/>
      <c r="C641" s="5"/>
      <c r="D641" s="5"/>
      <c r="E641" s="5"/>
      <c r="F641" s="5"/>
    </row>
    <row r="642">
      <c r="A642" s="1"/>
      <c r="B642" s="5"/>
      <c r="C642" s="5"/>
      <c r="D642" s="5"/>
      <c r="E642" s="5"/>
      <c r="F642" s="5"/>
    </row>
    <row r="643">
      <c r="A643" s="1"/>
      <c r="B643" s="5"/>
      <c r="C643" s="5"/>
      <c r="D643" s="5"/>
      <c r="E643" s="5"/>
      <c r="F643" s="5"/>
    </row>
    <row r="644">
      <c r="A644" s="1"/>
      <c r="B644" s="5"/>
      <c r="C644" s="5"/>
      <c r="D644" s="5"/>
      <c r="E644" s="5"/>
      <c r="F644" s="5"/>
    </row>
    <row r="645">
      <c r="A645" s="1"/>
      <c r="B645" s="5"/>
      <c r="C645" s="5"/>
      <c r="D645" s="5"/>
      <c r="E645" s="5"/>
      <c r="F645" s="5"/>
    </row>
    <row r="646">
      <c r="A646" s="1"/>
      <c r="B646" s="5"/>
      <c r="C646" s="5"/>
      <c r="D646" s="5"/>
      <c r="E646" s="5"/>
      <c r="F646" s="5"/>
    </row>
    <row r="647">
      <c r="A647" s="1"/>
      <c r="B647" s="5"/>
      <c r="C647" s="5"/>
      <c r="D647" s="5"/>
      <c r="E647" s="5"/>
      <c r="F647" s="5"/>
    </row>
    <row r="648">
      <c r="A648" s="1"/>
      <c r="B648" s="5"/>
      <c r="C648" s="5"/>
      <c r="D648" s="5"/>
      <c r="E648" s="5"/>
      <c r="F648" s="5"/>
    </row>
    <row r="649">
      <c r="A649" s="1"/>
      <c r="B649" s="5"/>
      <c r="C649" s="5"/>
      <c r="D649" s="5"/>
      <c r="E649" s="5"/>
      <c r="F649" s="5"/>
    </row>
    <row r="650">
      <c r="A650" s="1"/>
      <c r="B650" s="5"/>
      <c r="C650" s="5"/>
      <c r="D650" s="5"/>
      <c r="E650" s="5"/>
      <c r="F650" s="5"/>
    </row>
    <row r="651">
      <c r="A651" s="1"/>
      <c r="B651" s="5"/>
      <c r="C651" s="5"/>
      <c r="D651" s="5"/>
      <c r="E651" s="5"/>
      <c r="F651" s="5"/>
    </row>
    <row r="652">
      <c r="A652" s="1"/>
      <c r="B652" s="5"/>
      <c r="C652" s="5"/>
      <c r="D652" s="5"/>
      <c r="E652" s="5"/>
      <c r="F652" s="5"/>
    </row>
    <row r="653">
      <c r="A653" s="1"/>
      <c r="B653" s="5"/>
      <c r="C653" s="5"/>
      <c r="D653" s="5"/>
      <c r="E653" s="5"/>
      <c r="F653" s="5"/>
    </row>
    <row r="654">
      <c r="A654" s="1"/>
      <c r="B654" s="5"/>
      <c r="C654" s="5"/>
      <c r="D654" s="5"/>
      <c r="E654" s="5"/>
      <c r="F654" s="5"/>
    </row>
    <row r="655">
      <c r="A655" s="1"/>
      <c r="B655" s="5"/>
      <c r="C655" s="5"/>
      <c r="D655" s="5"/>
      <c r="E655" s="5"/>
      <c r="F655" s="5"/>
    </row>
    <row r="656">
      <c r="A656" s="1"/>
      <c r="B656" s="5"/>
      <c r="C656" s="5"/>
      <c r="D656" s="5"/>
      <c r="E656" s="5"/>
      <c r="F656" s="5"/>
    </row>
    <row r="657">
      <c r="A657" s="1"/>
      <c r="B657" s="5"/>
      <c r="C657" s="5"/>
      <c r="D657" s="5"/>
      <c r="E657" s="5"/>
      <c r="F657" s="5"/>
    </row>
    <row r="658">
      <c r="A658" s="1"/>
      <c r="B658" s="5"/>
      <c r="C658" s="5"/>
      <c r="D658" s="5"/>
      <c r="E658" s="5"/>
      <c r="F658" s="5"/>
    </row>
    <row r="659">
      <c r="A659" s="1"/>
      <c r="B659" s="5"/>
      <c r="C659" s="5"/>
      <c r="D659" s="5"/>
      <c r="E659" s="5"/>
      <c r="F659" s="5"/>
    </row>
    <row r="660">
      <c r="A660" s="1"/>
      <c r="B660" s="5"/>
      <c r="C660" s="5"/>
      <c r="D660" s="5"/>
      <c r="E660" s="5"/>
      <c r="F660" s="5"/>
    </row>
    <row r="661">
      <c r="A661" s="1"/>
      <c r="B661" s="5"/>
      <c r="C661" s="5"/>
      <c r="D661" s="5"/>
      <c r="E661" s="5"/>
      <c r="F661" s="5"/>
    </row>
    <row r="662">
      <c r="A662" s="1"/>
      <c r="B662" s="5"/>
      <c r="C662" s="5"/>
      <c r="D662" s="5"/>
      <c r="E662" s="5"/>
      <c r="F662" s="5"/>
    </row>
    <row r="663">
      <c r="A663" s="1"/>
      <c r="B663" s="5"/>
      <c r="C663" s="5"/>
      <c r="D663" s="5"/>
      <c r="E663" s="5"/>
      <c r="F663" s="5"/>
    </row>
    <row r="664">
      <c r="A664" s="1"/>
      <c r="B664" s="5"/>
      <c r="C664" s="5"/>
      <c r="D664" s="5"/>
      <c r="E664" s="5"/>
      <c r="F664" s="5"/>
    </row>
    <row r="665">
      <c r="A665" s="1"/>
      <c r="B665" s="5"/>
      <c r="C665" s="5"/>
      <c r="D665" s="5"/>
      <c r="E665" s="5"/>
      <c r="F665" s="5"/>
    </row>
    <row r="666">
      <c r="A666" s="1"/>
      <c r="B666" s="5"/>
      <c r="C666" s="5"/>
      <c r="D666" s="5"/>
      <c r="E666" s="5"/>
      <c r="F666" s="5"/>
    </row>
    <row r="667">
      <c r="A667" s="1"/>
      <c r="B667" s="5"/>
      <c r="C667" s="5"/>
      <c r="D667" s="5"/>
      <c r="E667" s="5"/>
      <c r="F667" s="5"/>
    </row>
    <row r="668">
      <c r="A668" s="1"/>
      <c r="B668" s="5"/>
      <c r="C668" s="5"/>
      <c r="D668" s="5"/>
      <c r="E668" s="5"/>
      <c r="F668" s="5"/>
    </row>
    <row r="669">
      <c r="A669" s="1"/>
      <c r="B669" s="5"/>
      <c r="C669" s="5"/>
      <c r="D669" s="5"/>
      <c r="E669" s="5"/>
      <c r="F669" s="5"/>
    </row>
    <row r="670">
      <c r="A670" s="1"/>
      <c r="B670" s="5"/>
      <c r="C670" s="5"/>
      <c r="D670" s="5"/>
      <c r="E670" s="5"/>
      <c r="F670" s="5"/>
    </row>
    <row r="671">
      <c r="A671" s="1"/>
      <c r="B671" s="5"/>
      <c r="C671" s="5"/>
      <c r="D671" s="5"/>
      <c r="E671" s="5"/>
      <c r="F671" s="5"/>
    </row>
    <row r="672">
      <c r="A672" s="1"/>
      <c r="B672" s="5"/>
      <c r="C672" s="5"/>
      <c r="D672" s="5"/>
      <c r="E672" s="5"/>
      <c r="F672" s="5"/>
    </row>
    <row r="673">
      <c r="A673" s="1"/>
      <c r="B673" s="5"/>
      <c r="C673" s="5"/>
      <c r="D673" s="5"/>
      <c r="E673" s="5"/>
      <c r="F673" s="5"/>
    </row>
    <row r="674">
      <c r="A674" s="1"/>
      <c r="B674" s="5"/>
      <c r="C674" s="5"/>
      <c r="D674" s="5"/>
      <c r="E674" s="5"/>
      <c r="F674" s="5"/>
    </row>
    <row r="675">
      <c r="A675" s="1"/>
      <c r="B675" s="5"/>
      <c r="C675" s="5"/>
      <c r="D675" s="5"/>
      <c r="E675" s="5"/>
      <c r="F675" s="5"/>
    </row>
    <row r="676">
      <c r="A676" s="1"/>
      <c r="B676" s="5"/>
      <c r="C676" s="5"/>
      <c r="D676" s="5"/>
      <c r="E676" s="5"/>
      <c r="F676" s="5"/>
    </row>
    <row r="677">
      <c r="A677" s="1"/>
      <c r="B677" s="5"/>
      <c r="C677" s="5"/>
      <c r="D677" s="5"/>
      <c r="E677" s="5"/>
      <c r="F677" s="5"/>
    </row>
    <row r="678">
      <c r="A678" s="1"/>
      <c r="B678" s="5"/>
      <c r="C678" s="5"/>
      <c r="D678" s="5"/>
      <c r="E678" s="5"/>
      <c r="F678" s="5"/>
    </row>
    <row r="679">
      <c r="A679" s="1"/>
      <c r="B679" s="5"/>
      <c r="C679" s="5"/>
      <c r="D679" s="5"/>
      <c r="E679" s="5"/>
      <c r="F679" s="5"/>
    </row>
    <row r="680">
      <c r="A680" s="1"/>
      <c r="B680" s="5"/>
      <c r="C680" s="5"/>
      <c r="D680" s="5"/>
      <c r="E680" s="5"/>
      <c r="F680" s="5"/>
    </row>
    <row r="681">
      <c r="A681" s="1"/>
      <c r="B681" s="5"/>
      <c r="C681" s="5"/>
      <c r="D681" s="5"/>
      <c r="E681" s="5"/>
      <c r="F681" s="5"/>
    </row>
    <row r="682">
      <c r="A682" s="1"/>
      <c r="B682" s="5"/>
      <c r="C682" s="5"/>
      <c r="D682" s="5"/>
      <c r="E682" s="5"/>
      <c r="F682" s="5"/>
    </row>
    <row r="683">
      <c r="A683" s="1"/>
      <c r="B683" s="5"/>
      <c r="C683" s="5"/>
      <c r="D683" s="5"/>
      <c r="E683" s="5"/>
      <c r="F683" s="5"/>
    </row>
    <row r="684">
      <c r="A684" s="1"/>
      <c r="B684" s="5"/>
      <c r="C684" s="5"/>
      <c r="D684" s="5"/>
      <c r="E684" s="5"/>
      <c r="F684" s="5"/>
    </row>
    <row r="685">
      <c r="A685" s="1"/>
      <c r="B685" s="5"/>
      <c r="C685" s="5"/>
      <c r="D685" s="5"/>
      <c r="E685" s="5"/>
      <c r="F685" s="5"/>
    </row>
    <row r="686">
      <c r="A686" s="1"/>
      <c r="B686" s="5"/>
      <c r="C686" s="5"/>
      <c r="D686" s="5"/>
      <c r="E686" s="5"/>
      <c r="F686" s="5"/>
    </row>
    <row r="687">
      <c r="A687" s="1"/>
      <c r="B687" s="5"/>
      <c r="C687" s="5"/>
      <c r="D687" s="5"/>
      <c r="E687" s="5"/>
      <c r="F687" s="5"/>
    </row>
    <row r="688">
      <c r="A688" s="1"/>
      <c r="B688" s="5"/>
      <c r="C688" s="5"/>
      <c r="D688" s="5"/>
      <c r="E688" s="5"/>
      <c r="F688" s="5"/>
    </row>
    <row r="689">
      <c r="A689" s="1"/>
      <c r="B689" s="5"/>
      <c r="C689" s="5"/>
      <c r="D689" s="5"/>
      <c r="E689" s="5"/>
      <c r="F689" s="5"/>
    </row>
    <row r="690">
      <c r="A690" s="1"/>
      <c r="B690" s="5"/>
      <c r="C690" s="5"/>
      <c r="D690" s="5"/>
      <c r="E690" s="5"/>
      <c r="F690" s="5"/>
    </row>
    <row r="691">
      <c r="A691" s="1"/>
      <c r="B691" s="5"/>
      <c r="C691" s="5"/>
      <c r="D691" s="5"/>
      <c r="E691" s="5"/>
      <c r="F691" s="5"/>
    </row>
    <row r="692">
      <c r="A692" s="1"/>
      <c r="B692" s="5"/>
      <c r="C692" s="5"/>
      <c r="D692" s="5"/>
      <c r="E692" s="5"/>
      <c r="F692" s="5"/>
    </row>
    <row r="693">
      <c r="A693" s="1"/>
      <c r="B693" s="5"/>
      <c r="C693" s="5"/>
      <c r="D693" s="5"/>
      <c r="E693" s="5"/>
      <c r="F693" s="5"/>
    </row>
    <row r="694">
      <c r="A694" s="1"/>
      <c r="B694" s="5"/>
      <c r="C694" s="5"/>
      <c r="D694" s="5"/>
      <c r="E694" s="5"/>
      <c r="F694" s="5"/>
    </row>
    <row r="695">
      <c r="A695" s="1"/>
      <c r="B695" s="5"/>
      <c r="C695" s="5"/>
      <c r="D695" s="5"/>
      <c r="E695" s="5"/>
      <c r="F695" s="5"/>
    </row>
    <row r="696">
      <c r="A696" s="1"/>
      <c r="B696" s="5"/>
      <c r="C696" s="5"/>
      <c r="D696" s="5"/>
      <c r="E696" s="5"/>
      <c r="F696" s="5"/>
    </row>
    <row r="697">
      <c r="A697" s="1"/>
      <c r="B697" s="5"/>
      <c r="C697" s="5"/>
      <c r="D697" s="5"/>
      <c r="E697" s="5"/>
      <c r="F697" s="5"/>
    </row>
    <row r="698">
      <c r="A698" s="1"/>
      <c r="B698" s="5"/>
      <c r="C698" s="5"/>
      <c r="D698" s="5"/>
      <c r="E698" s="5"/>
      <c r="F698" s="5"/>
    </row>
    <row r="699">
      <c r="A699" s="1"/>
      <c r="B699" s="5"/>
      <c r="C699" s="5"/>
      <c r="D699" s="5"/>
      <c r="E699" s="5"/>
      <c r="F699" s="5"/>
    </row>
    <row r="700">
      <c r="A700" s="1"/>
      <c r="B700" s="5"/>
      <c r="C700" s="5"/>
      <c r="D700" s="5"/>
      <c r="E700" s="5"/>
      <c r="F700" s="5"/>
    </row>
    <row r="701">
      <c r="A701" s="1"/>
      <c r="B701" s="5"/>
      <c r="C701" s="5"/>
      <c r="D701" s="5"/>
      <c r="E701" s="5"/>
      <c r="F701" s="5"/>
    </row>
    <row r="702">
      <c r="A702" s="1"/>
      <c r="B702" s="5"/>
      <c r="C702" s="5"/>
      <c r="D702" s="5"/>
      <c r="E702" s="5"/>
      <c r="F702" s="5"/>
    </row>
    <row r="703">
      <c r="A703" s="1"/>
      <c r="B703" s="5"/>
      <c r="C703" s="5"/>
      <c r="D703" s="5"/>
      <c r="E703" s="5"/>
      <c r="F703" s="5"/>
    </row>
    <row r="704">
      <c r="A704" s="1"/>
      <c r="B704" s="5"/>
      <c r="C704" s="5"/>
      <c r="D704" s="5"/>
      <c r="E704" s="5"/>
      <c r="F704" s="5"/>
    </row>
    <row r="705">
      <c r="A705" s="1"/>
      <c r="B705" s="5"/>
      <c r="C705" s="5"/>
      <c r="D705" s="5"/>
      <c r="E705" s="5"/>
      <c r="F705" s="5"/>
    </row>
    <row r="706">
      <c r="A706" s="1"/>
      <c r="B706" s="5"/>
      <c r="C706" s="5"/>
      <c r="D706" s="5"/>
      <c r="E706" s="5"/>
      <c r="F706" s="5"/>
    </row>
    <row r="707">
      <c r="A707" s="1"/>
      <c r="B707" s="5"/>
      <c r="C707" s="5"/>
      <c r="D707" s="5"/>
      <c r="E707" s="5"/>
      <c r="F707" s="5"/>
    </row>
    <row r="708">
      <c r="A708" s="1"/>
      <c r="B708" s="5"/>
      <c r="C708" s="5"/>
      <c r="D708" s="5"/>
      <c r="E708" s="5"/>
      <c r="F708" s="5"/>
    </row>
    <row r="709">
      <c r="A709" s="1"/>
      <c r="B709" s="5"/>
      <c r="C709" s="5"/>
      <c r="D709" s="5"/>
      <c r="E709" s="5"/>
      <c r="F709" s="5"/>
    </row>
    <row r="710">
      <c r="A710" s="1"/>
      <c r="B710" s="5"/>
      <c r="C710" s="5"/>
      <c r="D710" s="5"/>
      <c r="E710" s="5"/>
      <c r="F710" s="5"/>
    </row>
    <row r="711">
      <c r="A711" s="1"/>
      <c r="B711" s="5"/>
      <c r="C711" s="5"/>
      <c r="D711" s="5"/>
      <c r="E711" s="5"/>
      <c r="F711" s="5"/>
    </row>
    <row r="712">
      <c r="A712" s="1"/>
      <c r="B712" s="5"/>
      <c r="C712" s="5"/>
      <c r="D712" s="5"/>
      <c r="E712" s="5"/>
      <c r="F712" s="5"/>
    </row>
    <row r="713">
      <c r="A713" s="1"/>
      <c r="B713" s="5"/>
      <c r="C713" s="5"/>
      <c r="D713" s="5"/>
      <c r="E713" s="5"/>
      <c r="F713" s="5"/>
    </row>
    <row r="714">
      <c r="A714" s="1"/>
      <c r="B714" s="5"/>
      <c r="C714" s="5"/>
      <c r="D714" s="5"/>
      <c r="E714" s="5"/>
      <c r="F714" s="5"/>
    </row>
    <row r="715">
      <c r="A715" s="1"/>
      <c r="B715" s="5"/>
      <c r="C715" s="5"/>
      <c r="D715" s="5"/>
      <c r="E715" s="5"/>
      <c r="F715" s="5"/>
    </row>
    <row r="716">
      <c r="A716" s="1"/>
      <c r="B716" s="5"/>
      <c r="C716" s="5"/>
      <c r="D716" s="5"/>
      <c r="E716" s="5"/>
      <c r="F716" s="5"/>
    </row>
    <row r="717">
      <c r="A717" s="1"/>
      <c r="B717" s="5"/>
      <c r="C717" s="5"/>
      <c r="D717" s="5"/>
      <c r="E717" s="5"/>
      <c r="F717" s="5"/>
    </row>
    <row r="718">
      <c r="A718" s="1"/>
      <c r="B718" s="5"/>
      <c r="C718" s="5"/>
      <c r="D718" s="5"/>
      <c r="E718" s="5"/>
      <c r="F718" s="5"/>
    </row>
    <row r="719">
      <c r="A719" s="1"/>
      <c r="B719" s="5"/>
      <c r="C719" s="5"/>
      <c r="D719" s="5"/>
      <c r="E719" s="5"/>
      <c r="F719" s="5"/>
    </row>
    <row r="720">
      <c r="A720" s="1"/>
      <c r="B720" s="5"/>
      <c r="C720" s="5"/>
      <c r="D720" s="5"/>
      <c r="E720" s="5"/>
      <c r="F720" s="5"/>
    </row>
    <row r="721">
      <c r="A721" s="1"/>
      <c r="B721" s="5"/>
      <c r="C721" s="5"/>
      <c r="D721" s="5"/>
      <c r="E721" s="5"/>
      <c r="F721" s="5"/>
    </row>
    <row r="722">
      <c r="A722" s="1"/>
      <c r="B722" s="5"/>
      <c r="C722" s="5"/>
      <c r="D722" s="5"/>
      <c r="E722" s="5"/>
      <c r="F722" s="5"/>
    </row>
    <row r="723">
      <c r="A723" s="1"/>
      <c r="B723" s="5"/>
      <c r="C723" s="5"/>
      <c r="D723" s="5"/>
      <c r="E723" s="5"/>
      <c r="F723" s="5"/>
    </row>
    <row r="724">
      <c r="A724" s="1"/>
      <c r="B724" s="5"/>
      <c r="C724" s="5"/>
      <c r="D724" s="5"/>
      <c r="E724" s="5"/>
      <c r="F724" s="5"/>
    </row>
    <row r="725">
      <c r="A725" s="1"/>
      <c r="B725" s="5"/>
      <c r="C725" s="5"/>
      <c r="D725" s="5"/>
      <c r="E725" s="5"/>
      <c r="F725" s="5"/>
    </row>
    <row r="726">
      <c r="A726" s="1"/>
      <c r="B726" s="5"/>
      <c r="C726" s="5"/>
      <c r="D726" s="5"/>
      <c r="E726" s="5"/>
      <c r="F726" s="5"/>
    </row>
    <row r="727">
      <c r="A727" s="1"/>
      <c r="B727" s="5"/>
      <c r="C727" s="5"/>
      <c r="D727" s="5"/>
      <c r="E727" s="5"/>
      <c r="F727" s="5"/>
    </row>
    <row r="728">
      <c r="A728" s="1"/>
      <c r="B728" s="5"/>
      <c r="C728" s="5"/>
      <c r="D728" s="5"/>
      <c r="E728" s="5"/>
      <c r="F728" s="5"/>
    </row>
    <row r="729">
      <c r="A729" s="1"/>
      <c r="B729" s="5"/>
      <c r="C729" s="5"/>
      <c r="D729" s="5"/>
      <c r="E729" s="5"/>
      <c r="F729" s="5"/>
    </row>
    <row r="730">
      <c r="A730" s="1"/>
      <c r="B730" s="5"/>
      <c r="C730" s="5"/>
      <c r="D730" s="5"/>
      <c r="E730" s="5"/>
      <c r="F730" s="5"/>
    </row>
    <row r="731">
      <c r="A731" s="1"/>
      <c r="B731" s="5"/>
      <c r="C731" s="5"/>
      <c r="D731" s="5"/>
      <c r="E731" s="5"/>
      <c r="F731" s="5"/>
    </row>
    <row r="732">
      <c r="A732" s="1"/>
      <c r="B732" s="5"/>
      <c r="C732" s="5"/>
      <c r="D732" s="5"/>
      <c r="E732" s="5"/>
      <c r="F732" s="5"/>
    </row>
    <row r="733">
      <c r="A733" s="1"/>
      <c r="B733" s="5"/>
      <c r="C733" s="5"/>
      <c r="D733" s="5"/>
      <c r="E733" s="5"/>
      <c r="F733" s="5"/>
    </row>
    <row r="734">
      <c r="A734" s="1"/>
      <c r="B734" s="5"/>
      <c r="C734" s="5"/>
      <c r="D734" s="5"/>
      <c r="E734" s="5"/>
      <c r="F734" s="5"/>
    </row>
    <row r="735">
      <c r="A735" s="1"/>
      <c r="B735" s="5"/>
      <c r="C735" s="5"/>
      <c r="D735" s="5"/>
      <c r="E735" s="5"/>
      <c r="F735" s="5"/>
    </row>
    <row r="736">
      <c r="A736" s="1"/>
      <c r="B736" s="5"/>
      <c r="C736" s="5"/>
      <c r="D736" s="5"/>
      <c r="E736" s="5"/>
      <c r="F736" s="5"/>
    </row>
    <row r="737">
      <c r="A737" s="1"/>
      <c r="B737" s="5"/>
      <c r="C737" s="5"/>
      <c r="D737" s="5"/>
      <c r="E737" s="5"/>
      <c r="F737" s="5"/>
    </row>
    <row r="738">
      <c r="A738" s="1"/>
      <c r="B738" s="5"/>
      <c r="C738" s="5"/>
      <c r="D738" s="5"/>
      <c r="E738" s="5"/>
      <c r="F738" s="5"/>
    </row>
    <row r="739">
      <c r="A739" s="1"/>
      <c r="B739" s="5"/>
      <c r="C739" s="5"/>
      <c r="D739" s="5"/>
      <c r="E739" s="5"/>
      <c r="F739" s="5"/>
    </row>
    <row r="740">
      <c r="A740" s="1"/>
      <c r="B740" s="5"/>
      <c r="C740" s="5"/>
      <c r="D740" s="5"/>
      <c r="E740" s="5"/>
      <c r="F740" s="5"/>
    </row>
    <row r="741">
      <c r="A741" s="1"/>
      <c r="B741" s="5"/>
      <c r="C741" s="5"/>
      <c r="D741" s="5"/>
      <c r="E741" s="5"/>
      <c r="F741" s="5"/>
    </row>
    <row r="742">
      <c r="A742" s="1"/>
      <c r="B742" s="5"/>
      <c r="C742" s="5"/>
      <c r="D742" s="5"/>
      <c r="E742" s="5"/>
      <c r="F742" s="5"/>
    </row>
    <row r="743">
      <c r="A743" s="1"/>
      <c r="B743" s="5"/>
      <c r="C743" s="5"/>
      <c r="D743" s="5"/>
      <c r="E743" s="5"/>
      <c r="F743" s="5"/>
    </row>
    <row r="744">
      <c r="A744" s="1"/>
      <c r="B744" s="5"/>
      <c r="C744" s="5"/>
      <c r="D744" s="5"/>
      <c r="E744" s="5"/>
      <c r="F744" s="5"/>
    </row>
    <row r="745">
      <c r="A745" s="1"/>
      <c r="B745" s="5"/>
      <c r="C745" s="5"/>
      <c r="D745" s="5"/>
      <c r="E745" s="5"/>
      <c r="F745" s="5"/>
    </row>
    <row r="746">
      <c r="A746" s="1"/>
      <c r="B746" s="5"/>
      <c r="C746" s="5"/>
      <c r="D746" s="5"/>
      <c r="E746" s="5"/>
      <c r="F746" s="5"/>
    </row>
    <row r="747">
      <c r="A747" s="1"/>
      <c r="B747" s="5"/>
      <c r="C747" s="5"/>
      <c r="D747" s="5"/>
      <c r="E747" s="5"/>
      <c r="F747" s="5"/>
    </row>
    <row r="748">
      <c r="A748" s="1"/>
      <c r="B748" s="5"/>
      <c r="C748" s="5"/>
      <c r="D748" s="5"/>
      <c r="E748" s="5"/>
      <c r="F748" s="5"/>
    </row>
    <row r="749">
      <c r="A749" s="1"/>
      <c r="B749" s="5"/>
      <c r="C749" s="5"/>
      <c r="D749" s="5"/>
      <c r="E749" s="5"/>
      <c r="F749" s="5"/>
    </row>
    <row r="750">
      <c r="A750" s="1"/>
      <c r="B750" s="5"/>
      <c r="C750" s="5"/>
      <c r="D750" s="5"/>
      <c r="E750" s="5"/>
      <c r="F750" s="5"/>
    </row>
    <row r="751">
      <c r="A751" s="1"/>
      <c r="B751" s="5"/>
      <c r="C751" s="5"/>
      <c r="D751" s="5"/>
      <c r="E751" s="5"/>
      <c r="F751" s="5"/>
    </row>
    <row r="752">
      <c r="A752" s="1"/>
      <c r="B752" s="5"/>
      <c r="C752" s="5"/>
      <c r="D752" s="5"/>
      <c r="E752" s="5"/>
      <c r="F752" s="5"/>
    </row>
    <row r="753">
      <c r="A753" s="1"/>
      <c r="B753" s="5"/>
      <c r="C753" s="5"/>
      <c r="D753" s="5"/>
      <c r="E753" s="5"/>
      <c r="F753" s="5"/>
    </row>
    <row r="754">
      <c r="A754" s="1"/>
      <c r="B754" s="5"/>
      <c r="C754" s="5"/>
      <c r="D754" s="5"/>
      <c r="E754" s="5"/>
      <c r="F754" s="5"/>
    </row>
    <row r="755">
      <c r="A755" s="1"/>
      <c r="B755" s="5"/>
      <c r="C755" s="5"/>
      <c r="D755" s="5"/>
      <c r="E755" s="5"/>
      <c r="F755" s="5"/>
    </row>
    <row r="756">
      <c r="A756" s="1"/>
      <c r="B756" s="5"/>
      <c r="C756" s="5"/>
      <c r="D756" s="5"/>
      <c r="E756" s="5"/>
      <c r="F756" s="5"/>
    </row>
    <row r="757">
      <c r="A757" s="1"/>
      <c r="B757" s="5"/>
      <c r="C757" s="5"/>
      <c r="D757" s="5"/>
      <c r="E757" s="5"/>
      <c r="F757" s="5"/>
    </row>
    <row r="758">
      <c r="A758" s="1"/>
      <c r="B758" s="5"/>
      <c r="C758" s="5"/>
      <c r="D758" s="5"/>
      <c r="E758" s="5"/>
      <c r="F758" s="5"/>
    </row>
    <row r="759">
      <c r="A759" s="1"/>
      <c r="B759" s="5"/>
      <c r="C759" s="5"/>
      <c r="D759" s="5"/>
      <c r="E759" s="5"/>
      <c r="F759" s="5"/>
    </row>
    <row r="760">
      <c r="A760" s="1"/>
      <c r="B760" s="5"/>
      <c r="C760" s="5"/>
      <c r="D760" s="5"/>
      <c r="E760" s="5"/>
      <c r="F760" s="5"/>
    </row>
    <row r="761">
      <c r="A761" s="1"/>
      <c r="B761" s="5"/>
      <c r="C761" s="5"/>
      <c r="D761" s="5"/>
      <c r="E761" s="5"/>
      <c r="F761" s="5"/>
    </row>
    <row r="762">
      <c r="A762" s="1"/>
      <c r="B762" s="5"/>
      <c r="C762" s="5"/>
      <c r="D762" s="5"/>
      <c r="E762" s="5"/>
      <c r="F762" s="5"/>
    </row>
    <row r="763">
      <c r="A763" s="1"/>
      <c r="B763" s="5"/>
      <c r="C763" s="5"/>
      <c r="D763" s="5"/>
      <c r="E763" s="5"/>
      <c r="F763" s="5"/>
    </row>
    <row r="764">
      <c r="A764" s="1"/>
      <c r="B764" s="5"/>
      <c r="C764" s="5"/>
      <c r="D764" s="5"/>
      <c r="E764" s="5"/>
      <c r="F764" s="5"/>
    </row>
    <row r="765">
      <c r="A765" s="1"/>
      <c r="B765" s="5"/>
      <c r="C765" s="5"/>
      <c r="D765" s="5"/>
      <c r="E765" s="5"/>
      <c r="F765" s="5"/>
    </row>
    <row r="766">
      <c r="A766" s="1"/>
      <c r="B766" s="5"/>
      <c r="C766" s="5"/>
      <c r="D766" s="5"/>
      <c r="E766" s="5"/>
      <c r="F766" s="5"/>
    </row>
    <row r="767">
      <c r="A767" s="1"/>
      <c r="B767" s="5"/>
      <c r="C767" s="5"/>
      <c r="D767" s="5"/>
      <c r="E767" s="5"/>
      <c r="F767" s="5"/>
    </row>
    <row r="768">
      <c r="A768" s="1"/>
      <c r="B768" s="5"/>
      <c r="C768" s="5"/>
      <c r="D768" s="5"/>
      <c r="E768" s="5"/>
      <c r="F768" s="5"/>
    </row>
    <row r="769">
      <c r="A769" s="1"/>
      <c r="B769" s="5"/>
      <c r="C769" s="5"/>
      <c r="D769" s="5"/>
      <c r="E769" s="5"/>
      <c r="F769" s="5"/>
    </row>
    <row r="770">
      <c r="A770" s="1"/>
      <c r="B770" s="5"/>
      <c r="C770" s="5"/>
      <c r="D770" s="5"/>
      <c r="E770" s="5"/>
      <c r="F770" s="5"/>
    </row>
    <row r="771">
      <c r="A771" s="1"/>
      <c r="B771" s="5"/>
      <c r="C771" s="5"/>
      <c r="D771" s="5"/>
      <c r="E771" s="5"/>
      <c r="F771" s="5"/>
    </row>
    <row r="772">
      <c r="A772" s="1"/>
      <c r="B772" s="5"/>
      <c r="C772" s="5"/>
      <c r="D772" s="5"/>
      <c r="E772" s="5"/>
      <c r="F772" s="5"/>
    </row>
    <row r="773">
      <c r="A773" s="1"/>
      <c r="B773" s="5"/>
      <c r="C773" s="5"/>
      <c r="D773" s="5"/>
      <c r="E773" s="5"/>
      <c r="F773" s="5"/>
    </row>
    <row r="774">
      <c r="A774" s="1"/>
      <c r="B774" s="5"/>
      <c r="C774" s="5"/>
      <c r="D774" s="5"/>
      <c r="E774" s="5"/>
      <c r="F774" s="5"/>
    </row>
    <row r="775">
      <c r="A775" s="1"/>
      <c r="B775" s="5"/>
      <c r="C775" s="5"/>
      <c r="D775" s="5"/>
      <c r="E775" s="5"/>
      <c r="F775" s="5"/>
    </row>
    <row r="776">
      <c r="A776" s="1"/>
      <c r="B776" s="5"/>
      <c r="C776" s="5"/>
      <c r="D776" s="5"/>
      <c r="E776" s="5"/>
      <c r="F776" s="5"/>
    </row>
    <row r="777">
      <c r="A777" s="1"/>
      <c r="B777" s="5"/>
      <c r="C777" s="5"/>
      <c r="D777" s="5"/>
      <c r="E777" s="5"/>
      <c r="F777" s="5"/>
    </row>
    <row r="778">
      <c r="A778" s="1"/>
      <c r="B778" s="5"/>
      <c r="C778" s="5"/>
      <c r="D778" s="5"/>
      <c r="E778" s="5"/>
      <c r="F778" s="5"/>
    </row>
    <row r="779">
      <c r="A779" s="1"/>
      <c r="B779" s="5"/>
      <c r="C779" s="5"/>
      <c r="D779" s="5"/>
      <c r="E779" s="5"/>
      <c r="F779" s="5"/>
    </row>
    <row r="780">
      <c r="A780" s="1"/>
      <c r="B780" s="5"/>
      <c r="C780" s="5"/>
      <c r="D780" s="5"/>
      <c r="E780" s="5"/>
      <c r="F780" s="5"/>
    </row>
    <row r="781">
      <c r="A781" s="1"/>
      <c r="B781" s="5"/>
      <c r="C781" s="5"/>
      <c r="D781" s="5"/>
      <c r="E781" s="5"/>
      <c r="F781" s="5"/>
    </row>
    <row r="782">
      <c r="A782" s="1"/>
      <c r="B782" s="5"/>
      <c r="C782" s="5"/>
      <c r="D782" s="5"/>
      <c r="E782" s="5"/>
      <c r="F782" s="5"/>
    </row>
    <row r="783">
      <c r="A783" s="1"/>
      <c r="B783" s="5"/>
      <c r="C783" s="5"/>
      <c r="D783" s="5"/>
      <c r="E783" s="5"/>
      <c r="F783" s="5"/>
    </row>
    <row r="784">
      <c r="A784" s="1"/>
      <c r="B784" s="5"/>
      <c r="C784" s="5"/>
      <c r="D784" s="5"/>
      <c r="E784" s="5"/>
      <c r="F784" s="5"/>
    </row>
    <row r="785">
      <c r="A785" s="1"/>
      <c r="B785" s="5"/>
      <c r="C785" s="5"/>
      <c r="D785" s="5"/>
      <c r="E785" s="5"/>
      <c r="F785" s="5"/>
    </row>
    <row r="786">
      <c r="A786" s="1"/>
      <c r="B786" s="5"/>
      <c r="C786" s="5"/>
      <c r="D786" s="5"/>
      <c r="E786" s="5"/>
      <c r="F786" s="5"/>
    </row>
    <row r="787">
      <c r="A787" s="1"/>
      <c r="B787" s="5"/>
      <c r="C787" s="5"/>
      <c r="D787" s="5"/>
      <c r="E787" s="5"/>
      <c r="F787" s="5"/>
    </row>
    <row r="788">
      <c r="A788" s="1"/>
      <c r="B788" s="5"/>
      <c r="C788" s="5"/>
      <c r="D788" s="5"/>
      <c r="E788" s="5"/>
      <c r="F788" s="5"/>
    </row>
    <row r="789">
      <c r="A789" s="1"/>
      <c r="B789" s="5"/>
      <c r="C789" s="5"/>
      <c r="D789" s="5"/>
      <c r="E789" s="5"/>
      <c r="F789" s="5"/>
    </row>
    <row r="790">
      <c r="A790" s="1"/>
      <c r="B790" s="5"/>
      <c r="C790" s="5"/>
      <c r="D790" s="5"/>
      <c r="E790" s="5"/>
      <c r="F790" s="5"/>
    </row>
    <row r="791">
      <c r="A791" s="1"/>
      <c r="B791" s="5"/>
      <c r="C791" s="5"/>
      <c r="D791" s="5"/>
      <c r="E791" s="5"/>
      <c r="F791" s="5"/>
    </row>
    <row r="792">
      <c r="A792" s="1"/>
      <c r="B792" s="5"/>
      <c r="C792" s="5"/>
      <c r="D792" s="5"/>
      <c r="E792" s="5"/>
      <c r="F792" s="5"/>
    </row>
    <row r="793">
      <c r="A793" s="1"/>
      <c r="B793" s="5"/>
      <c r="C793" s="5"/>
      <c r="D793" s="5"/>
      <c r="E793" s="5"/>
      <c r="F793" s="5"/>
    </row>
    <row r="794">
      <c r="A794" s="1"/>
      <c r="B794" s="5"/>
      <c r="C794" s="5"/>
      <c r="D794" s="5"/>
      <c r="E794" s="5"/>
      <c r="F794" s="5"/>
    </row>
    <row r="795">
      <c r="A795" s="1"/>
      <c r="B795" s="5"/>
      <c r="C795" s="5"/>
      <c r="D795" s="5"/>
      <c r="E795" s="5"/>
      <c r="F795" s="5"/>
    </row>
    <row r="796">
      <c r="A796" s="1"/>
      <c r="B796" s="5"/>
      <c r="C796" s="5"/>
      <c r="D796" s="5"/>
      <c r="E796" s="5"/>
      <c r="F796" s="5"/>
    </row>
    <row r="797">
      <c r="A797" s="1"/>
      <c r="B797" s="5"/>
      <c r="C797" s="5"/>
      <c r="D797" s="5"/>
      <c r="E797" s="5"/>
      <c r="F797" s="5"/>
    </row>
    <row r="798">
      <c r="A798" s="1"/>
      <c r="B798" s="5"/>
      <c r="C798" s="5"/>
      <c r="D798" s="5"/>
      <c r="E798" s="5"/>
      <c r="F798" s="5"/>
    </row>
    <row r="799">
      <c r="A799" s="1"/>
      <c r="B799" s="5"/>
      <c r="C799" s="5"/>
      <c r="D799" s="5"/>
      <c r="E799" s="5"/>
      <c r="F799" s="5"/>
    </row>
    <row r="800">
      <c r="A800" s="1"/>
      <c r="B800" s="5"/>
      <c r="C800" s="5"/>
      <c r="D800" s="5"/>
      <c r="E800" s="5"/>
      <c r="F800" s="5"/>
    </row>
    <row r="801">
      <c r="A801" s="1"/>
      <c r="B801" s="5"/>
      <c r="C801" s="5"/>
      <c r="D801" s="5"/>
      <c r="E801" s="5"/>
      <c r="F801" s="5"/>
    </row>
    <row r="802">
      <c r="A802" s="1"/>
      <c r="B802" s="5"/>
      <c r="C802" s="5"/>
      <c r="D802" s="5"/>
      <c r="E802" s="5"/>
      <c r="F802" s="5"/>
    </row>
    <row r="803">
      <c r="A803" s="1"/>
      <c r="B803" s="5"/>
      <c r="C803" s="5"/>
      <c r="D803" s="5"/>
      <c r="E803" s="5"/>
      <c r="F803" s="5"/>
    </row>
    <row r="804">
      <c r="A804" s="1"/>
      <c r="B804" s="5"/>
      <c r="C804" s="5"/>
      <c r="D804" s="5"/>
      <c r="E804" s="5"/>
      <c r="F804" s="5"/>
    </row>
    <row r="805">
      <c r="A805" s="1"/>
      <c r="B805" s="5"/>
      <c r="C805" s="5"/>
      <c r="D805" s="5"/>
      <c r="E805" s="5"/>
      <c r="F805" s="5"/>
    </row>
    <row r="806">
      <c r="A806" s="1"/>
      <c r="B806" s="5"/>
      <c r="C806" s="5"/>
      <c r="D806" s="5"/>
      <c r="E806" s="5"/>
      <c r="F806" s="5"/>
    </row>
    <row r="807">
      <c r="A807" s="1"/>
      <c r="B807" s="5"/>
      <c r="C807" s="5"/>
      <c r="D807" s="5"/>
      <c r="E807" s="5"/>
      <c r="F807" s="5"/>
    </row>
    <row r="808">
      <c r="A808" s="1"/>
      <c r="B808" s="5"/>
      <c r="C808" s="5"/>
      <c r="D808" s="5"/>
      <c r="E808" s="5"/>
      <c r="F808" s="5"/>
    </row>
    <row r="809">
      <c r="A809" s="1"/>
      <c r="B809" s="5"/>
      <c r="C809" s="5"/>
      <c r="D809" s="5"/>
      <c r="E809" s="5"/>
      <c r="F809" s="5"/>
    </row>
    <row r="810">
      <c r="A810" s="1"/>
      <c r="B810" s="5"/>
      <c r="C810" s="5"/>
      <c r="D810" s="5"/>
      <c r="E810" s="5"/>
      <c r="F810" s="5"/>
    </row>
    <row r="811">
      <c r="A811" s="1"/>
      <c r="B811" s="5"/>
      <c r="C811" s="5"/>
      <c r="D811" s="5"/>
      <c r="E811" s="5"/>
      <c r="F811" s="5"/>
    </row>
    <row r="812">
      <c r="A812" s="1"/>
      <c r="B812" s="5"/>
      <c r="C812" s="5"/>
      <c r="D812" s="5"/>
      <c r="E812" s="5"/>
      <c r="F812" s="5"/>
    </row>
    <row r="813">
      <c r="A813" s="1"/>
      <c r="B813" s="5"/>
      <c r="C813" s="5"/>
      <c r="D813" s="5"/>
      <c r="E813" s="5"/>
      <c r="F813" s="5"/>
    </row>
    <row r="814">
      <c r="A814" s="1"/>
      <c r="B814" s="5"/>
      <c r="C814" s="5"/>
      <c r="D814" s="5"/>
      <c r="E814" s="5"/>
      <c r="F814" s="5"/>
    </row>
    <row r="815">
      <c r="A815" s="1"/>
      <c r="B815" s="5"/>
      <c r="C815" s="5"/>
      <c r="D815" s="5"/>
      <c r="E815" s="5"/>
      <c r="F815" s="5"/>
    </row>
    <row r="816">
      <c r="A816" s="1"/>
      <c r="B816" s="5"/>
      <c r="C816" s="5"/>
      <c r="D816" s="5"/>
      <c r="E816" s="5"/>
      <c r="F816" s="5"/>
    </row>
    <row r="817">
      <c r="A817" s="1"/>
      <c r="B817" s="5"/>
      <c r="C817" s="5"/>
      <c r="D817" s="5"/>
      <c r="E817" s="5"/>
      <c r="F817" s="5"/>
    </row>
    <row r="818">
      <c r="A818" s="1"/>
      <c r="B818" s="5"/>
      <c r="C818" s="5"/>
      <c r="D818" s="5"/>
      <c r="E818" s="5"/>
      <c r="F818" s="5"/>
    </row>
    <row r="819">
      <c r="A819" s="1"/>
      <c r="B819" s="5"/>
      <c r="C819" s="5"/>
      <c r="D819" s="5"/>
      <c r="E819" s="5"/>
      <c r="F819" s="5"/>
    </row>
    <row r="820">
      <c r="A820" s="1"/>
      <c r="B820" s="5"/>
      <c r="C820" s="5"/>
      <c r="D820" s="5"/>
      <c r="E820" s="5"/>
      <c r="F820" s="5"/>
    </row>
    <row r="821">
      <c r="A821" s="1"/>
      <c r="B821" s="5"/>
      <c r="C821" s="5"/>
      <c r="D821" s="5"/>
      <c r="E821" s="5"/>
      <c r="F821" s="5"/>
    </row>
    <row r="822">
      <c r="A822" s="1"/>
      <c r="B822" s="5"/>
      <c r="C822" s="5"/>
      <c r="D822" s="5"/>
      <c r="E822" s="5"/>
      <c r="F822" s="5"/>
    </row>
    <row r="823">
      <c r="A823" s="1"/>
      <c r="B823" s="5"/>
      <c r="C823" s="5"/>
      <c r="D823" s="5"/>
      <c r="E823" s="5"/>
      <c r="F823" s="5"/>
    </row>
    <row r="824">
      <c r="A824" s="1"/>
      <c r="B824" s="5"/>
      <c r="C824" s="5"/>
      <c r="D824" s="5"/>
      <c r="E824" s="5"/>
      <c r="F824" s="5"/>
    </row>
    <row r="825">
      <c r="A825" s="1"/>
      <c r="B825" s="5"/>
      <c r="C825" s="5"/>
      <c r="D825" s="5"/>
      <c r="E825" s="5"/>
      <c r="F825" s="5"/>
    </row>
    <row r="826">
      <c r="A826" s="1"/>
      <c r="B826" s="5"/>
      <c r="C826" s="5"/>
      <c r="D826" s="5"/>
      <c r="E826" s="5"/>
      <c r="F826" s="5"/>
    </row>
    <row r="827">
      <c r="A827" s="1"/>
      <c r="B827" s="5"/>
      <c r="C827" s="5"/>
      <c r="D827" s="5"/>
      <c r="E827" s="5"/>
      <c r="F827" s="5"/>
    </row>
    <row r="828">
      <c r="A828" s="1"/>
      <c r="B828" s="5"/>
      <c r="C828" s="5"/>
      <c r="D828" s="5"/>
      <c r="E828" s="5"/>
      <c r="F828" s="5"/>
    </row>
    <row r="829">
      <c r="A829" s="1"/>
      <c r="B829" s="5"/>
      <c r="C829" s="5"/>
      <c r="D829" s="5"/>
      <c r="E829" s="5"/>
      <c r="F829" s="5"/>
    </row>
    <row r="830">
      <c r="A830" s="1"/>
      <c r="B830" s="5"/>
      <c r="C830" s="5"/>
      <c r="D830" s="5"/>
      <c r="E830" s="5"/>
      <c r="F830" s="5"/>
    </row>
    <row r="831">
      <c r="A831" s="1"/>
      <c r="B831" s="5"/>
      <c r="C831" s="5"/>
      <c r="D831" s="5"/>
      <c r="E831" s="5"/>
      <c r="F831" s="5"/>
    </row>
    <row r="832">
      <c r="A832" s="1"/>
      <c r="B832" s="5"/>
      <c r="C832" s="5"/>
      <c r="D832" s="5"/>
      <c r="E832" s="5"/>
      <c r="F832" s="5"/>
    </row>
    <row r="833">
      <c r="A833" s="1"/>
      <c r="B833" s="5"/>
      <c r="C833" s="5"/>
      <c r="D833" s="5"/>
      <c r="E833" s="5"/>
      <c r="F833" s="5"/>
    </row>
    <row r="834">
      <c r="A834" s="1"/>
      <c r="B834" s="5"/>
      <c r="C834" s="5"/>
      <c r="D834" s="5"/>
      <c r="E834" s="5"/>
      <c r="F834" s="5"/>
    </row>
    <row r="835">
      <c r="A835" s="1"/>
      <c r="B835" s="5"/>
      <c r="C835" s="5"/>
      <c r="D835" s="5"/>
      <c r="E835" s="5"/>
      <c r="F835" s="5"/>
    </row>
    <row r="836">
      <c r="A836" s="1"/>
      <c r="B836" s="5"/>
      <c r="C836" s="5"/>
      <c r="D836" s="5"/>
      <c r="E836" s="5"/>
      <c r="F836" s="5"/>
    </row>
    <row r="837">
      <c r="A837" s="1"/>
      <c r="B837" s="5"/>
      <c r="C837" s="5"/>
      <c r="D837" s="5"/>
      <c r="E837" s="5"/>
      <c r="F837" s="5"/>
    </row>
    <row r="838">
      <c r="A838" s="1"/>
      <c r="B838" s="5"/>
      <c r="C838" s="5"/>
      <c r="D838" s="5"/>
      <c r="E838" s="5"/>
      <c r="F838" s="5"/>
    </row>
    <row r="839">
      <c r="A839" s="1"/>
      <c r="B839" s="5"/>
      <c r="C839" s="5"/>
      <c r="D839" s="5"/>
      <c r="E839" s="5"/>
      <c r="F839" s="5"/>
    </row>
    <row r="840">
      <c r="A840" s="1"/>
      <c r="B840" s="5"/>
      <c r="C840" s="5"/>
      <c r="D840" s="5"/>
      <c r="E840" s="5"/>
      <c r="F840" s="5"/>
    </row>
    <row r="841">
      <c r="A841" s="1"/>
      <c r="B841" s="5"/>
      <c r="C841" s="5"/>
      <c r="D841" s="5"/>
      <c r="E841" s="5"/>
      <c r="F841" s="5"/>
    </row>
    <row r="842">
      <c r="A842" s="1"/>
      <c r="B842" s="5"/>
      <c r="C842" s="5"/>
      <c r="D842" s="5"/>
      <c r="E842" s="5"/>
      <c r="F842" s="5"/>
    </row>
    <row r="843">
      <c r="A843" s="1"/>
      <c r="B843" s="5"/>
      <c r="C843" s="5"/>
      <c r="D843" s="5"/>
      <c r="E843" s="5"/>
      <c r="F843" s="5"/>
    </row>
    <row r="844">
      <c r="A844" s="1"/>
      <c r="B844" s="5"/>
      <c r="C844" s="5"/>
      <c r="D844" s="5"/>
      <c r="E844" s="5"/>
      <c r="F844" s="5"/>
    </row>
    <row r="845">
      <c r="A845" s="1"/>
      <c r="B845" s="5"/>
      <c r="C845" s="5"/>
      <c r="D845" s="5"/>
      <c r="E845" s="5"/>
      <c r="F845" s="5"/>
    </row>
    <row r="846">
      <c r="A846" s="1"/>
      <c r="B846" s="5"/>
      <c r="C846" s="5"/>
      <c r="D846" s="5"/>
      <c r="E846" s="5"/>
      <c r="F846" s="5"/>
    </row>
    <row r="847">
      <c r="A847" s="1"/>
      <c r="B847" s="5"/>
      <c r="C847" s="5"/>
      <c r="D847" s="5"/>
      <c r="E847" s="5"/>
      <c r="F847" s="5"/>
    </row>
    <row r="848">
      <c r="A848" s="1"/>
      <c r="B848" s="5"/>
      <c r="C848" s="5"/>
      <c r="D848" s="5"/>
      <c r="E848" s="5"/>
      <c r="F848" s="5"/>
    </row>
    <row r="849">
      <c r="A849" s="1"/>
      <c r="B849" s="5"/>
      <c r="C849" s="5"/>
      <c r="D849" s="5"/>
      <c r="E849" s="5"/>
      <c r="F849" s="5"/>
    </row>
    <row r="850">
      <c r="A850" s="1"/>
      <c r="B850" s="5"/>
      <c r="C850" s="5"/>
      <c r="D850" s="5"/>
      <c r="E850" s="5"/>
      <c r="F850" s="5"/>
    </row>
    <row r="851">
      <c r="A851" s="1"/>
      <c r="B851" s="5"/>
      <c r="C851" s="5"/>
      <c r="D851" s="5"/>
      <c r="E851" s="5"/>
      <c r="F851" s="5"/>
    </row>
    <row r="852">
      <c r="A852" s="1"/>
      <c r="B852" s="5"/>
      <c r="C852" s="5"/>
      <c r="D852" s="5"/>
      <c r="E852" s="5"/>
      <c r="F852" s="5"/>
    </row>
    <row r="853">
      <c r="A853" s="1"/>
      <c r="B853" s="5"/>
      <c r="C853" s="5"/>
      <c r="D853" s="5"/>
      <c r="E853" s="5"/>
      <c r="F853" s="5"/>
    </row>
    <row r="854">
      <c r="A854" s="1"/>
      <c r="B854" s="5"/>
      <c r="C854" s="5"/>
      <c r="D854" s="5"/>
      <c r="E854" s="5"/>
      <c r="F854" s="5"/>
    </row>
    <row r="855">
      <c r="A855" s="1"/>
      <c r="B855" s="5"/>
      <c r="C855" s="5"/>
      <c r="D855" s="5"/>
      <c r="E855" s="5"/>
      <c r="F855" s="5"/>
    </row>
    <row r="856">
      <c r="A856" s="1"/>
      <c r="B856" s="5"/>
      <c r="C856" s="5"/>
      <c r="D856" s="5"/>
      <c r="E856" s="5"/>
      <c r="F856" s="5"/>
    </row>
    <row r="857">
      <c r="A857" s="1"/>
      <c r="B857" s="5"/>
      <c r="C857" s="5"/>
      <c r="D857" s="5"/>
      <c r="E857" s="5"/>
      <c r="F857" s="5"/>
    </row>
    <row r="858">
      <c r="A858" s="1"/>
      <c r="B858" s="5"/>
      <c r="C858" s="5"/>
      <c r="D858" s="5"/>
      <c r="E858" s="5"/>
      <c r="F858" s="5"/>
    </row>
    <row r="859">
      <c r="A859" s="1"/>
      <c r="B859" s="5"/>
      <c r="C859" s="5"/>
      <c r="D859" s="5"/>
      <c r="E859" s="5"/>
      <c r="F859" s="5"/>
    </row>
    <row r="860">
      <c r="A860" s="1"/>
      <c r="B860" s="5"/>
      <c r="C860" s="5"/>
      <c r="D860" s="5"/>
      <c r="E860" s="5"/>
      <c r="F860" s="5"/>
    </row>
    <row r="861">
      <c r="A861" s="1"/>
      <c r="B861" s="5"/>
      <c r="C861" s="5"/>
      <c r="D861" s="5"/>
      <c r="E861" s="5"/>
      <c r="F861" s="5"/>
    </row>
    <row r="862">
      <c r="A862" s="1"/>
      <c r="B862" s="5"/>
      <c r="C862" s="5"/>
      <c r="D862" s="5"/>
      <c r="E862" s="5"/>
      <c r="F862" s="5"/>
    </row>
    <row r="863">
      <c r="A863" s="1"/>
      <c r="B863" s="5"/>
      <c r="C863" s="5"/>
      <c r="D863" s="5"/>
      <c r="E863" s="5"/>
      <c r="F863" s="5"/>
    </row>
    <row r="864">
      <c r="A864" s="1"/>
      <c r="B864" s="5"/>
      <c r="C864" s="5"/>
      <c r="D864" s="5"/>
      <c r="E864" s="5"/>
      <c r="F864" s="5"/>
    </row>
    <row r="865">
      <c r="A865" s="1"/>
      <c r="B865" s="5"/>
      <c r="C865" s="5"/>
      <c r="D865" s="5"/>
      <c r="E865" s="5"/>
      <c r="F865" s="5"/>
    </row>
    <row r="866">
      <c r="A866" s="1"/>
      <c r="B866" s="5"/>
      <c r="C866" s="5"/>
      <c r="D866" s="5"/>
      <c r="E866" s="5"/>
      <c r="F866" s="5"/>
    </row>
    <row r="867">
      <c r="A867" s="1"/>
      <c r="B867" s="5"/>
      <c r="C867" s="5"/>
      <c r="D867" s="5"/>
      <c r="E867" s="5"/>
      <c r="F867" s="5"/>
    </row>
    <row r="868">
      <c r="A868" s="1"/>
      <c r="B868" s="5"/>
      <c r="C868" s="5"/>
      <c r="D868" s="5"/>
      <c r="E868" s="5"/>
      <c r="F868" s="5"/>
    </row>
    <row r="869">
      <c r="A869" s="1"/>
      <c r="B869" s="5"/>
      <c r="C869" s="5"/>
      <c r="D869" s="5"/>
      <c r="E869" s="5"/>
      <c r="F869" s="5"/>
    </row>
    <row r="870">
      <c r="A870" s="1"/>
      <c r="B870" s="5"/>
      <c r="C870" s="5"/>
      <c r="D870" s="5"/>
      <c r="E870" s="5"/>
      <c r="F870" s="5"/>
    </row>
    <row r="871">
      <c r="A871" s="1"/>
      <c r="B871" s="5"/>
      <c r="C871" s="5"/>
      <c r="D871" s="5"/>
      <c r="E871" s="5"/>
      <c r="F871" s="5"/>
    </row>
    <row r="872">
      <c r="A872" s="1"/>
      <c r="B872" s="5"/>
      <c r="C872" s="5"/>
      <c r="D872" s="5"/>
      <c r="E872" s="5"/>
      <c r="F872" s="5"/>
    </row>
    <row r="873">
      <c r="A873" s="1"/>
      <c r="B873" s="5"/>
      <c r="C873" s="5"/>
      <c r="D873" s="5"/>
      <c r="E873" s="5"/>
      <c r="F873" s="5"/>
    </row>
    <row r="874">
      <c r="A874" s="1"/>
      <c r="B874" s="5"/>
      <c r="C874" s="5"/>
      <c r="D874" s="5"/>
      <c r="E874" s="5"/>
      <c r="F874" s="5"/>
    </row>
    <row r="875">
      <c r="A875" s="1"/>
      <c r="B875" s="5"/>
      <c r="C875" s="5"/>
      <c r="D875" s="5"/>
      <c r="E875" s="5"/>
      <c r="F875" s="5"/>
    </row>
    <row r="876">
      <c r="A876" s="1"/>
      <c r="B876" s="5"/>
      <c r="C876" s="5"/>
      <c r="D876" s="5"/>
      <c r="E876" s="5"/>
      <c r="F876" s="5"/>
    </row>
    <row r="877">
      <c r="A877" s="1"/>
      <c r="B877" s="5"/>
      <c r="C877" s="5"/>
      <c r="D877" s="5"/>
      <c r="E877" s="5"/>
      <c r="F877" s="5"/>
    </row>
    <row r="878">
      <c r="A878" s="1"/>
      <c r="B878" s="5"/>
      <c r="C878" s="5"/>
      <c r="D878" s="5"/>
      <c r="E878" s="5"/>
      <c r="F878" s="5"/>
    </row>
    <row r="879">
      <c r="A879" s="1"/>
      <c r="B879" s="5"/>
      <c r="C879" s="5"/>
      <c r="D879" s="5"/>
      <c r="E879" s="5"/>
      <c r="F879" s="5"/>
    </row>
    <row r="880">
      <c r="A880" s="1"/>
      <c r="B880" s="5"/>
      <c r="C880" s="5"/>
      <c r="D880" s="5"/>
      <c r="E880" s="5"/>
      <c r="F880" s="5"/>
    </row>
    <row r="881">
      <c r="A881" s="1"/>
      <c r="B881" s="5"/>
      <c r="C881" s="5"/>
      <c r="D881" s="5"/>
      <c r="E881" s="5"/>
      <c r="F881" s="5"/>
    </row>
    <row r="882">
      <c r="A882" s="1"/>
      <c r="B882" s="5"/>
      <c r="C882" s="5"/>
      <c r="D882" s="5"/>
      <c r="E882" s="5"/>
      <c r="F882" s="5"/>
    </row>
    <row r="883">
      <c r="A883" s="1"/>
      <c r="B883" s="5"/>
      <c r="C883" s="5"/>
      <c r="D883" s="5"/>
      <c r="E883" s="5"/>
      <c r="F883" s="5"/>
    </row>
    <row r="884">
      <c r="A884" s="1"/>
      <c r="B884" s="5"/>
      <c r="C884" s="5"/>
      <c r="D884" s="5"/>
      <c r="E884" s="5"/>
      <c r="F884" s="5"/>
    </row>
    <row r="885">
      <c r="A885" s="1"/>
      <c r="B885" s="5"/>
      <c r="C885" s="5"/>
      <c r="D885" s="5"/>
      <c r="E885" s="5"/>
      <c r="F885" s="5"/>
    </row>
    <row r="886">
      <c r="A886" s="1"/>
      <c r="B886" s="5"/>
      <c r="C886" s="5"/>
      <c r="D886" s="5"/>
      <c r="E886" s="5"/>
      <c r="F886" s="5"/>
    </row>
    <row r="887">
      <c r="A887" s="1"/>
      <c r="B887" s="5"/>
      <c r="C887" s="5"/>
      <c r="D887" s="5"/>
      <c r="E887" s="5"/>
      <c r="F887" s="5"/>
    </row>
    <row r="888">
      <c r="A888" s="1"/>
      <c r="B888" s="5"/>
      <c r="C888" s="5"/>
      <c r="D888" s="5"/>
      <c r="E888" s="5"/>
      <c r="F888" s="5"/>
    </row>
    <row r="889">
      <c r="A889" s="1"/>
      <c r="B889" s="5"/>
      <c r="C889" s="5"/>
      <c r="D889" s="5"/>
      <c r="E889" s="5"/>
      <c r="F889" s="5"/>
    </row>
    <row r="890">
      <c r="A890" s="1"/>
      <c r="B890" s="5"/>
      <c r="C890" s="5"/>
      <c r="D890" s="5"/>
      <c r="E890" s="5"/>
      <c r="F890" s="5"/>
    </row>
    <row r="891">
      <c r="A891" s="1"/>
      <c r="B891" s="5"/>
      <c r="C891" s="5"/>
      <c r="D891" s="5"/>
      <c r="E891" s="5"/>
      <c r="F891" s="5"/>
    </row>
    <row r="892">
      <c r="A892" s="1"/>
      <c r="B892" s="5"/>
      <c r="C892" s="5"/>
      <c r="D892" s="5"/>
      <c r="E892" s="5"/>
      <c r="F892" s="5"/>
    </row>
    <row r="893">
      <c r="A893" s="1"/>
      <c r="B893" s="5"/>
      <c r="C893" s="5"/>
      <c r="D893" s="5"/>
      <c r="E893" s="5"/>
      <c r="F893" s="5"/>
    </row>
    <row r="894">
      <c r="A894" s="1"/>
      <c r="B894" s="5"/>
      <c r="C894" s="5"/>
      <c r="D894" s="5"/>
      <c r="E894" s="5"/>
      <c r="F894" s="5"/>
    </row>
    <row r="895">
      <c r="A895" s="1"/>
      <c r="B895" s="5"/>
      <c r="C895" s="5"/>
      <c r="D895" s="5"/>
      <c r="E895" s="5"/>
      <c r="F895" s="5"/>
    </row>
    <row r="896">
      <c r="A896" s="1"/>
      <c r="B896" s="5"/>
      <c r="C896" s="5"/>
      <c r="D896" s="5"/>
      <c r="E896" s="5"/>
      <c r="F896" s="5"/>
    </row>
    <row r="897">
      <c r="A897" s="1"/>
      <c r="B897" s="5"/>
      <c r="C897" s="5"/>
      <c r="D897" s="5"/>
      <c r="E897" s="5"/>
      <c r="F897" s="5"/>
    </row>
    <row r="898">
      <c r="A898" s="1"/>
      <c r="B898" s="5"/>
      <c r="C898" s="5"/>
      <c r="D898" s="5"/>
      <c r="E898" s="5"/>
      <c r="F898" s="5"/>
    </row>
    <row r="899">
      <c r="A899" s="1"/>
      <c r="B899" s="5"/>
      <c r="C899" s="5"/>
      <c r="D899" s="5"/>
      <c r="E899" s="5"/>
      <c r="F899" s="5"/>
    </row>
    <row r="900">
      <c r="A900" s="1"/>
      <c r="B900" s="5"/>
      <c r="C900" s="5"/>
      <c r="D900" s="5"/>
      <c r="E900" s="5"/>
      <c r="F900" s="5"/>
    </row>
    <row r="901">
      <c r="A901" s="1"/>
      <c r="B901" s="5"/>
      <c r="C901" s="5"/>
      <c r="D901" s="5"/>
      <c r="E901" s="5"/>
      <c r="F901" s="5"/>
    </row>
    <row r="902">
      <c r="A902" s="1"/>
      <c r="B902" s="5"/>
      <c r="C902" s="5"/>
      <c r="D902" s="5"/>
      <c r="E902" s="5"/>
      <c r="F902" s="5"/>
    </row>
    <row r="903">
      <c r="A903" s="1"/>
      <c r="B903" s="5"/>
      <c r="C903" s="5"/>
      <c r="D903" s="5"/>
      <c r="E903" s="5"/>
      <c r="F903" s="5"/>
    </row>
    <row r="904">
      <c r="A904" s="1"/>
      <c r="B904" s="5"/>
      <c r="C904" s="5"/>
      <c r="D904" s="5"/>
      <c r="E904" s="5"/>
      <c r="F904" s="5"/>
    </row>
    <row r="905">
      <c r="A905" s="1"/>
      <c r="B905" s="5"/>
      <c r="C905" s="5"/>
      <c r="D905" s="5"/>
      <c r="E905" s="5"/>
      <c r="F905" s="5"/>
    </row>
    <row r="906">
      <c r="A906" s="1"/>
      <c r="B906" s="5"/>
      <c r="C906" s="5"/>
      <c r="D906" s="5"/>
      <c r="E906" s="5"/>
      <c r="F906" s="5"/>
    </row>
    <row r="907">
      <c r="A907" s="1"/>
      <c r="B907" s="5"/>
      <c r="C907" s="5"/>
      <c r="D907" s="5"/>
      <c r="E907" s="5"/>
      <c r="F907" s="5"/>
    </row>
    <row r="908">
      <c r="A908" s="1"/>
      <c r="B908" s="5"/>
      <c r="C908" s="5"/>
      <c r="D908" s="5"/>
      <c r="E908" s="5"/>
      <c r="F908" s="5"/>
    </row>
    <row r="909">
      <c r="A909" s="1"/>
      <c r="B909" s="5"/>
      <c r="C909" s="5"/>
      <c r="D909" s="5"/>
      <c r="E909" s="5"/>
      <c r="F909" s="5"/>
    </row>
    <row r="910">
      <c r="A910" s="1"/>
      <c r="B910" s="5"/>
      <c r="C910" s="5"/>
      <c r="D910" s="5"/>
      <c r="E910" s="5"/>
      <c r="F910" s="5"/>
    </row>
    <row r="911">
      <c r="A911" s="1"/>
      <c r="B911" s="5"/>
      <c r="C911" s="5"/>
      <c r="D911" s="5"/>
      <c r="E911" s="5"/>
      <c r="F911" s="5"/>
    </row>
    <row r="912">
      <c r="A912" s="1"/>
      <c r="B912" s="5"/>
      <c r="C912" s="5"/>
      <c r="D912" s="5"/>
      <c r="E912" s="5"/>
      <c r="F912" s="5"/>
    </row>
    <row r="913">
      <c r="A913" s="1"/>
      <c r="B913" s="5"/>
      <c r="C913" s="5"/>
      <c r="D913" s="5"/>
      <c r="E913" s="5"/>
      <c r="F913" s="5"/>
    </row>
    <row r="914">
      <c r="A914" s="1"/>
      <c r="B914" s="5"/>
      <c r="C914" s="5"/>
      <c r="D914" s="5"/>
      <c r="E914" s="5"/>
      <c r="F914" s="5"/>
    </row>
    <row r="915">
      <c r="A915" s="1"/>
      <c r="B915" s="5"/>
      <c r="C915" s="5"/>
      <c r="D915" s="5"/>
      <c r="E915" s="5"/>
      <c r="F915" s="5"/>
    </row>
    <row r="916">
      <c r="A916" s="1"/>
      <c r="B916" s="5"/>
      <c r="C916" s="5"/>
      <c r="D916" s="5"/>
      <c r="E916" s="5"/>
      <c r="F916" s="5"/>
    </row>
    <row r="917">
      <c r="A917" s="1"/>
      <c r="B917" s="5"/>
      <c r="C917" s="5"/>
      <c r="D917" s="5"/>
      <c r="E917" s="5"/>
      <c r="F917" s="5"/>
    </row>
    <row r="918">
      <c r="A918" s="1"/>
      <c r="B918" s="5"/>
      <c r="C918" s="5"/>
      <c r="D918" s="5"/>
      <c r="E918" s="5"/>
      <c r="F918" s="5"/>
    </row>
    <row r="919">
      <c r="A919" s="1"/>
      <c r="B919" s="5"/>
      <c r="C919" s="5"/>
      <c r="D919" s="5"/>
      <c r="E919" s="5"/>
      <c r="F919" s="5"/>
    </row>
    <row r="920">
      <c r="A920" s="1"/>
      <c r="B920" s="5"/>
      <c r="C920" s="5"/>
      <c r="D920" s="5"/>
      <c r="E920" s="5"/>
      <c r="F920" s="5"/>
    </row>
    <row r="921">
      <c r="A921" s="1"/>
      <c r="B921" s="5"/>
      <c r="C921" s="5"/>
      <c r="D921" s="5"/>
      <c r="E921" s="5"/>
      <c r="F921" s="5"/>
    </row>
    <row r="922">
      <c r="A922" s="1"/>
      <c r="B922" s="5"/>
      <c r="C922" s="5"/>
      <c r="D922" s="5"/>
      <c r="E922" s="5"/>
      <c r="F922" s="5"/>
    </row>
    <row r="923">
      <c r="A923" s="1"/>
      <c r="B923" s="5"/>
      <c r="C923" s="5"/>
      <c r="D923" s="5"/>
      <c r="E923" s="5"/>
      <c r="F923" s="5"/>
    </row>
    <row r="924">
      <c r="A924" s="1"/>
      <c r="B924" s="5"/>
      <c r="C924" s="5"/>
      <c r="D924" s="5"/>
      <c r="E924" s="5"/>
      <c r="F924" s="5"/>
    </row>
    <row r="925">
      <c r="A925" s="1"/>
      <c r="B925" s="5"/>
      <c r="C925" s="5"/>
      <c r="D925" s="5"/>
      <c r="E925" s="5"/>
      <c r="F925" s="5"/>
    </row>
    <row r="926">
      <c r="A926" s="1"/>
      <c r="B926" s="5"/>
      <c r="C926" s="5"/>
      <c r="D926" s="5"/>
      <c r="E926" s="5"/>
      <c r="F926" s="5"/>
    </row>
    <row r="927">
      <c r="A927" s="1"/>
      <c r="B927" s="5"/>
      <c r="C927" s="5"/>
      <c r="D927" s="5"/>
      <c r="E927" s="5"/>
      <c r="F927" s="5"/>
    </row>
    <row r="928">
      <c r="A928" s="1"/>
      <c r="B928" s="5"/>
      <c r="C928" s="5"/>
      <c r="D928" s="5"/>
      <c r="E928" s="5"/>
      <c r="F928" s="5"/>
    </row>
    <row r="929">
      <c r="A929" s="1"/>
      <c r="B929" s="5"/>
      <c r="C929" s="5"/>
      <c r="D929" s="5"/>
      <c r="E929" s="5"/>
      <c r="F929" s="5"/>
    </row>
    <row r="930">
      <c r="A930" s="1"/>
      <c r="B930" s="5"/>
      <c r="C930" s="5"/>
      <c r="D930" s="5"/>
      <c r="E930" s="5"/>
      <c r="F930" s="5"/>
    </row>
    <row r="931">
      <c r="A931" s="1"/>
      <c r="B931" s="5"/>
      <c r="C931" s="5"/>
      <c r="D931" s="5"/>
      <c r="E931" s="5"/>
      <c r="F931" s="5"/>
    </row>
    <row r="932">
      <c r="A932" s="1"/>
      <c r="B932" s="5"/>
      <c r="C932" s="5"/>
      <c r="D932" s="5"/>
      <c r="E932" s="5"/>
      <c r="F932" s="5"/>
    </row>
    <row r="933">
      <c r="A933" s="1"/>
      <c r="B933" s="5"/>
      <c r="C933" s="5"/>
      <c r="D933" s="5"/>
      <c r="E933" s="5"/>
      <c r="F933" s="5"/>
    </row>
    <row r="934">
      <c r="A934" s="1"/>
      <c r="B934" s="5"/>
      <c r="C934" s="5"/>
      <c r="D934" s="5"/>
      <c r="E934" s="5"/>
      <c r="F934" s="5"/>
    </row>
    <row r="935">
      <c r="A935" s="1"/>
      <c r="B935" s="5"/>
      <c r="C935" s="5"/>
      <c r="D935" s="5"/>
      <c r="E935" s="5"/>
      <c r="F935" s="5"/>
    </row>
    <row r="936">
      <c r="A936" s="1"/>
      <c r="B936" s="5"/>
      <c r="C936" s="5"/>
      <c r="D936" s="5"/>
      <c r="E936" s="5"/>
      <c r="F936" s="5"/>
    </row>
    <row r="937">
      <c r="A937" s="1"/>
      <c r="B937" s="5"/>
      <c r="C937" s="5"/>
      <c r="D937" s="5"/>
      <c r="E937" s="5"/>
      <c r="F937" s="5"/>
    </row>
    <row r="938">
      <c r="A938" s="1"/>
      <c r="B938" s="5"/>
      <c r="C938" s="5"/>
      <c r="D938" s="5"/>
      <c r="E938" s="5"/>
      <c r="F938" s="5"/>
    </row>
    <row r="939">
      <c r="A939" s="1"/>
      <c r="B939" s="5"/>
      <c r="C939" s="5"/>
      <c r="D939" s="5"/>
      <c r="E939" s="5"/>
      <c r="F939" s="5"/>
    </row>
    <row r="940">
      <c r="A940" s="1"/>
      <c r="B940" s="5"/>
      <c r="C940" s="5"/>
      <c r="D940" s="5"/>
      <c r="E940" s="5"/>
      <c r="F940" s="5"/>
    </row>
    <row r="941">
      <c r="A941" s="1"/>
      <c r="B941" s="5"/>
      <c r="C941" s="5"/>
      <c r="D941" s="5"/>
      <c r="E941" s="5"/>
      <c r="F941" s="5"/>
    </row>
    <row r="942">
      <c r="A942" s="1"/>
      <c r="B942" s="5"/>
      <c r="C942" s="5"/>
      <c r="D942" s="5"/>
      <c r="E942" s="5"/>
      <c r="F942" s="5"/>
    </row>
    <row r="943">
      <c r="A943" s="1"/>
      <c r="B943" s="5"/>
      <c r="C943" s="5"/>
      <c r="D943" s="5"/>
      <c r="E943" s="5"/>
      <c r="F943" s="5"/>
    </row>
    <row r="944">
      <c r="A944" s="1"/>
      <c r="B944" s="5"/>
      <c r="C944" s="5"/>
      <c r="D944" s="5"/>
      <c r="E944" s="5"/>
      <c r="F944" s="5"/>
    </row>
    <row r="945">
      <c r="A945" s="1"/>
      <c r="B945" s="5"/>
      <c r="C945" s="5"/>
      <c r="D945" s="5"/>
      <c r="E945" s="5"/>
      <c r="F945" s="5"/>
    </row>
    <row r="946">
      <c r="A946" s="1"/>
      <c r="B946" s="5"/>
      <c r="C946" s="5"/>
      <c r="D946" s="5"/>
      <c r="E946" s="5"/>
      <c r="F946" s="5"/>
    </row>
    <row r="947">
      <c r="A947" s="1"/>
      <c r="B947" s="5"/>
      <c r="C947" s="5"/>
      <c r="D947" s="5"/>
      <c r="E947" s="5"/>
      <c r="F947" s="5"/>
    </row>
    <row r="948">
      <c r="A948" s="1"/>
      <c r="B948" s="5"/>
      <c r="C948" s="5"/>
      <c r="D948" s="5"/>
      <c r="E948" s="5"/>
      <c r="F948" s="5"/>
    </row>
    <row r="949">
      <c r="A949" s="1"/>
      <c r="B949" s="5"/>
      <c r="C949" s="5"/>
      <c r="D949" s="5"/>
      <c r="E949" s="5"/>
      <c r="F949" s="5"/>
    </row>
    <row r="950">
      <c r="A950" s="1"/>
      <c r="B950" s="5"/>
      <c r="C950" s="5"/>
      <c r="D950" s="5"/>
      <c r="E950" s="5"/>
      <c r="F950" s="5"/>
    </row>
    <row r="951">
      <c r="A951" s="1"/>
      <c r="B951" s="5"/>
      <c r="C951" s="5"/>
      <c r="D951" s="5"/>
      <c r="E951" s="5"/>
      <c r="F951" s="5"/>
    </row>
    <row r="952">
      <c r="A952" s="1"/>
      <c r="B952" s="5"/>
      <c r="C952" s="5"/>
      <c r="D952" s="5"/>
      <c r="E952" s="5"/>
      <c r="F952" s="5"/>
    </row>
    <row r="953">
      <c r="A953" s="1"/>
      <c r="B953" s="5"/>
      <c r="C953" s="5"/>
      <c r="D953" s="5"/>
      <c r="E953" s="5"/>
      <c r="F953" s="5"/>
    </row>
    <row r="954">
      <c r="A954" s="1"/>
      <c r="B954" s="5"/>
      <c r="C954" s="5"/>
      <c r="D954" s="5"/>
      <c r="E954" s="5"/>
      <c r="F954" s="5"/>
    </row>
    <row r="955">
      <c r="A955" s="1"/>
      <c r="B955" s="5"/>
      <c r="C955" s="5"/>
      <c r="D955" s="5"/>
      <c r="E955" s="5"/>
      <c r="F955" s="5"/>
    </row>
    <row r="956">
      <c r="A956" s="1"/>
      <c r="B956" s="5"/>
      <c r="C956" s="5"/>
      <c r="D956" s="5"/>
      <c r="E956" s="5"/>
      <c r="F956" s="5"/>
    </row>
    <row r="957">
      <c r="A957" s="1"/>
      <c r="B957" s="5"/>
      <c r="C957" s="5"/>
      <c r="D957" s="5"/>
      <c r="E957" s="5"/>
      <c r="F957" s="5"/>
    </row>
    <row r="958">
      <c r="A958" s="1"/>
      <c r="B958" s="5"/>
      <c r="C958" s="5"/>
      <c r="D958" s="5"/>
      <c r="E958" s="5"/>
      <c r="F958" s="5"/>
    </row>
    <row r="959">
      <c r="A959" s="1"/>
      <c r="B959" s="5"/>
      <c r="C959" s="5"/>
      <c r="D959" s="5"/>
      <c r="E959" s="5"/>
      <c r="F959" s="5"/>
    </row>
    <row r="960">
      <c r="A960" s="1"/>
      <c r="B960" s="5"/>
      <c r="C960" s="5"/>
      <c r="D960" s="5"/>
      <c r="E960" s="5"/>
      <c r="F960" s="5"/>
    </row>
    <row r="961">
      <c r="A961" s="1"/>
      <c r="B961" s="5"/>
      <c r="C961" s="5"/>
      <c r="D961" s="5"/>
      <c r="E961" s="5"/>
      <c r="F961" s="5"/>
    </row>
    <row r="962">
      <c r="A962" s="1"/>
      <c r="B962" s="5"/>
      <c r="C962" s="5"/>
      <c r="D962" s="5"/>
      <c r="E962" s="5"/>
      <c r="F962" s="5"/>
    </row>
    <row r="963">
      <c r="A963" s="1"/>
      <c r="B963" s="5"/>
      <c r="C963" s="5"/>
      <c r="D963" s="5"/>
      <c r="E963" s="5"/>
      <c r="F963" s="5"/>
    </row>
    <row r="964">
      <c r="A964" s="1"/>
      <c r="B964" s="5"/>
      <c r="C964" s="5"/>
      <c r="D964" s="5"/>
      <c r="E964" s="5"/>
      <c r="F964" s="5"/>
    </row>
    <row r="965">
      <c r="A965" s="1"/>
      <c r="B965" s="5"/>
      <c r="C965" s="5"/>
      <c r="D965" s="5"/>
      <c r="E965" s="5"/>
      <c r="F965" s="5"/>
    </row>
    <row r="966">
      <c r="A966" s="1"/>
      <c r="B966" s="5"/>
      <c r="C966" s="5"/>
      <c r="D966" s="5"/>
      <c r="E966" s="5"/>
      <c r="F966" s="5"/>
    </row>
    <row r="967">
      <c r="A967" s="1"/>
      <c r="B967" s="5"/>
      <c r="C967" s="5"/>
      <c r="D967" s="5"/>
      <c r="E967" s="5"/>
      <c r="F967" s="5"/>
    </row>
    <row r="968">
      <c r="A968" s="1"/>
      <c r="B968" s="5"/>
      <c r="C968" s="5"/>
      <c r="D968" s="5"/>
      <c r="E968" s="5"/>
      <c r="F968" s="5"/>
    </row>
    <row r="969">
      <c r="A969" s="1"/>
      <c r="B969" s="5"/>
      <c r="C969" s="5"/>
      <c r="D969" s="5"/>
      <c r="E969" s="5"/>
      <c r="F969" s="5"/>
    </row>
    <row r="970">
      <c r="A970" s="1"/>
      <c r="B970" s="5"/>
      <c r="C970" s="5"/>
      <c r="D970" s="5"/>
      <c r="E970" s="5"/>
      <c r="F970" s="5"/>
    </row>
    <row r="971">
      <c r="A971" s="1"/>
      <c r="B971" s="5"/>
      <c r="C971" s="5"/>
      <c r="D971" s="5"/>
      <c r="E971" s="5"/>
      <c r="F971" s="5"/>
    </row>
    <row r="972">
      <c r="A972" s="1"/>
      <c r="B972" s="5"/>
      <c r="C972" s="5"/>
      <c r="D972" s="5"/>
      <c r="E972" s="5"/>
      <c r="F972" s="5"/>
    </row>
    <row r="973">
      <c r="A973" s="1"/>
      <c r="B973" s="5"/>
      <c r="C973" s="5"/>
      <c r="D973" s="5"/>
      <c r="E973" s="5"/>
      <c r="F973" s="5"/>
    </row>
    <row r="974">
      <c r="A974" s="1"/>
      <c r="B974" s="5"/>
      <c r="C974" s="5"/>
      <c r="D974" s="5"/>
      <c r="E974" s="5"/>
      <c r="F974" s="5"/>
    </row>
    <row r="975">
      <c r="A975" s="1"/>
      <c r="B975" s="5"/>
      <c r="C975" s="5"/>
      <c r="D975" s="5"/>
      <c r="E975" s="5"/>
      <c r="F975" s="5"/>
    </row>
    <row r="976">
      <c r="A976" s="1"/>
      <c r="B976" s="5"/>
      <c r="C976" s="5"/>
      <c r="D976" s="5"/>
      <c r="E976" s="5"/>
      <c r="F976" s="5"/>
    </row>
    <row r="977">
      <c r="A977" s="1"/>
      <c r="B977" s="5"/>
      <c r="C977" s="5"/>
      <c r="D977" s="5"/>
      <c r="E977" s="5"/>
      <c r="F977" s="5"/>
    </row>
    <row r="978">
      <c r="A978" s="1"/>
      <c r="B978" s="5"/>
      <c r="C978" s="5"/>
      <c r="D978" s="5"/>
      <c r="E978" s="5"/>
      <c r="F978" s="5"/>
    </row>
    <row r="979">
      <c r="A979" s="1"/>
      <c r="B979" s="5"/>
      <c r="C979" s="5"/>
      <c r="D979" s="5"/>
      <c r="E979" s="5"/>
      <c r="F979" s="5"/>
    </row>
    <row r="980">
      <c r="A980" s="1"/>
      <c r="B980" s="5"/>
      <c r="C980" s="5"/>
      <c r="D980" s="5"/>
      <c r="E980" s="5"/>
      <c r="F980" s="5"/>
    </row>
    <row r="981">
      <c r="A981" s="1"/>
      <c r="B981" s="5"/>
      <c r="C981" s="5"/>
      <c r="D981" s="5"/>
      <c r="E981" s="5"/>
      <c r="F981" s="5"/>
    </row>
    <row r="982">
      <c r="A982" s="1"/>
      <c r="B982" s="5"/>
      <c r="C982" s="5"/>
      <c r="D982" s="5"/>
      <c r="E982" s="5"/>
      <c r="F982" s="5"/>
    </row>
    <row r="983">
      <c r="A983" s="1"/>
      <c r="B983" s="5"/>
      <c r="C983" s="5"/>
      <c r="D983" s="5"/>
      <c r="E983" s="5"/>
      <c r="F983" s="5"/>
    </row>
    <row r="984">
      <c r="A984" s="1"/>
      <c r="B984" s="5"/>
      <c r="C984" s="5"/>
      <c r="D984" s="5"/>
      <c r="E984" s="5"/>
      <c r="F984" s="5"/>
    </row>
    <row r="985">
      <c r="A985" s="1"/>
      <c r="B985" s="5"/>
      <c r="C985" s="5"/>
      <c r="D985" s="5"/>
      <c r="E985" s="5"/>
      <c r="F985" s="5"/>
    </row>
    <row r="986">
      <c r="A986" s="1"/>
      <c r="B986" s="5"/>
      <c r="C986" s="5"/>
      <c r="D986" s="5"/>
      <c r="E986" s="5"/>
      <c r="F986" s="5"/>
    </row>
    <row r="987">
      <c r="A987" s="1"/>
      <c r="B987" s="5"/>
      <c r="C987" s="5"/>
      <c r="D987" s="5"/>
      <c r="E987" s="5"/>
      <c r="F987" s="5"/>
    </row>
    <row r="988">
      <c r="A988" s="1"/>
      <c r="B988" s="5"/>
      <c r="C988" s="5"/>
      <c r="D988" s="5"/>
      <c r="E988" s="5"/>
      <c r="F988" s="5"/>
    </row>
    <row r="989">
      <c r="A989" s="1"/>
      <c r="B989" s="5"/>
      <c r="C989" s="5"/>
      <c r="D989" s="5"/>
      <c r="E989" s="5"/>
      <c r="F989" s="5"/>
    </row>
    <row r="990">
      <c r="A990" s="1"/>
      <c r="B990" s="5"/>
      <c r="C990" s="5"/>
      <c r="D990" s="5"/>
      <c r="E990" s="5"/>
      <c r="F990" s="5"/>
    </row>
    <row r="991">
      <c r="A991" s="1"/>
      <c r="B991" s="5"/>
      <c r="C991" s="5"/>
      <c r="D991" s="5"/>
      <c r="E991" s="5"/>
      <c r="F991" s="5"/>
    </row>
    <row r="992">
      <c r="A992" s="1"/>
      <c r="B992" s="5"/>
      <c r="C992" s="5"/>
      <c r="D992" s="5"/>
      <c r="E992" s="5"/>
      <c r="F992" s="5"/>
    </row>
    <row r="993">
      <c r="A993" s="1"/>
      <c r="B993" s="5"/>
      <c r="C993" s="5"/>
      <c r="D993" s="5"/>
      <c r="E993" s="5"/>
      <c r="F993" s="5"/>
    </row>
    <row r="994">
      <c r="A994" s="1"/>
      <c r="B994" s="5"/>
      <c r="C994" s="5"/>
      <c r="D994" s="5"/>
      <c r="E994" s="5"/>
      <c r="F994" s="5"/>
    </row>
    <row r="995">
      <c r="A995" s="1"/>
      <c r="B995" s="5"/>
      <c r="C995" s="5"/>
      <c r="D995" s="5"/>
      <c r="E995" s="5"/>
      <c r="F995" s="5"/>
    </row>
    <row r="996">
      <c r="A996" s="1"/>
      <c r="B996" s="5"/>
      <c r="C996" s="5"/>
      <c r="D996" s="5"/>
      <c r="E996" s="5"/>
      <c r="F996" s="5"/>
    </row>
    <row r="997">
      <c r="A997" s="1"/>
      <c r="B997" s="5"/>
      <c r="C997" s="5"/>
      <c r="D997" s="5"/>
      <c r="E997" s="5"/>
      <c r="F997" s="5"/>
    </row>
    <row r="998">
      <c r="A998" s="1"/>
      <c r="B998" s="5"/>
      <c r="C998" s="5"/>
      <c r="D998" s="5"/>
      <c r="E998" s="5"/>
      <c r="F998" s="5"/>
    </row>
    <row r="999">
      <c r="A999" s="1"/>
      <c r="B999" s="5"/>
      <c r="C999" s="5"/>
      <c r="D999" s="5"/>
      <c r="E999" s="5"/>
      <c r="F999" s="5"/>
    </row>
    <row r="1000">
      <c r="A1000" s="1"/>
      <c r="B1000" s="5"/>
      <c r="C1000" s="5"/>
      <c r="D1000" s="5"/>
      <c r="E1000" s="5"/>
      <c r="F1000" s="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75"/>
    <col customWidth="1" min="2" max="27" width="7.88"/>
  </cols>
  <sheetData>
    <row r="1" ht="13.5" customHeight="1">
      <c r="A1" s="10"/>
      <c r="B1" s="11" t="s">
        <v>5</v>
      </c>
      <c r="C1" s="12"/>
      <c r="D1" s="11"/>
      <c r="E1" s="11"/>
      <c r="F1" s="11"/>
      <c r="G1" s="11"/>
      <c r="H1" s="11"/>
      <c r="I1" s="11"/>
      <c r="J1" s="11"/>
      <c r="K1" s="11"/>
      <c r="L1" s="11"/>
      <c r="M1" s="13" t="s">
        <v>6</v>
      </c>
      <c r="N1" s="12"/>
      <c r="O1" s="11"/>
      <c r="P1" s="11"/>
      <c r="Q1" s="11"/>
      <c r="R1" s="13" t="s">
        <v>7</v>
      </c>
      <c r="S1" s="14"/>
      <c r="T1" s="11"/>
      <c r="U1" s="11"/>
      <c r="V1" s="11"/>
      <c r="W1" s="11" t="s">
        <v>8</v>
      </c>
      <c r="X1" s="14"/>
      <c r="Y1" s="11"/>
      <c r="Z1" s="11"/>
      <c r="AA1" s="15" t="s">
        <v>9</v>
      </c>
    </row>
    <row r="2" ht="13.5" customHeight="1">
      <c r="A2" s="16"/>
      <c r="B2" s="13" t="s">
        <v>10</v>
      </c>
      <c r="C2" s="11" t="s">
        <v>11</v>
      </c>
      <c r="D2" s="11" t="s">
        <v>12</v>
      </c>
      <c r="E2" s="13" t="s">
        <v>13</v>
      </c>
      <c r="F2" s="13" t="s">
        <v>14</v>
      </c>
      <c r="G2" s="13" t="s">
        <v>15</v>
      </c>
      <c r="H2" s="13" t="s">
        <v>16</v>
      </c>
      <c r="I2" s="13" t="s">
        <v>17</v>
      </c>
      <c r="J2" s="11" t="s">
        <v>18</v>
      </c>
      <c r="K2" s="11" t="s">
        <v>19</v>
      </c>
      <c r="L2" s="11" t="s">
        <v>20</v>
      </c>
      <c r="M2" s="13" t="s">
        <v>21</v>
      </c>
      <c r="N2" s="13" t="s">
        <v>22</v>
      </c>
      <c r="O2" s="13" t="s">
        <v>23</v>
      </c>
      <c r="P2" s="11" t="s">
        <v>24</v>
      </c>
      <c r="Q2" s="13" t="s">
        <v>25</v>
      </c>
      <c r="R2" s="15" t="s">
        <v>10</v>
      </c>
      <c r="S2" s="13" t="s">
        <v>26</v>
      </c>
      <c r="T2" s="13" t="s">
        <v>27</v>
      </c>
      <c r="U2" s="11" t="s">
        <v>28</v>
      </c>
      <c r="V2" s="11" t="s">
        <v>7</v>
      </c>
      <c r="W2" s="13" t="s">
        <v>10</v>
      </c>
      <c r="X2" s="13" t="s">
        <v>29</v>
      </c>
      <c r="Y2" s="13" t="s">
        <v>19</v>
      </c>
      <c r="Z2" s="13" t="s">
        <v>8</v>
      </c>
      <c r="AA2" s="15" t="s">
        <v>30</v>
      </c>
    </row>
    <row r="3" ht="13.5" customHeight="1">
      <c r="A3" s="17">
        <v>201809.0</v>
      </c>
      <c r="B3" s="18"/>
      <c r="C3" s="18"/>
      <c r="D3" s="18"/>
      <c r="E3" s="18"/>
      <c r="F3" s="18"/>
      <c r="G3" s="18"/>
      <c r="H3" s="18"/>
      <c r="I3" s="18"/>
      <c r="J3" s="18"/>
      <c r="K3" s="18"/>
      <c r="L3" s="18"/>
      <c r="M3" s="19">
        <f t="shared" ref="M3:M42" si="1">Sum(N3:Q3)</f>
        <v>25138.9</v>
      </c>
      <c r="N3" s="18">
        <f>'201809'!B6</f>
        <v>4450.1</v>
      </c>
      <c r="O3" s="18">
        <f>'201809'!C6</f>
        <v>5199.8</v>
      </c>
      <c r="P3" s="18">
        <f>'201809'!D6</f>
        <v>1429</v>
      </c>
      <c r="Q3" s="18">
        <f>'201809'!E6</f>
        <v>14060</v>
      </c>
      <c r="R3" s="20"/>
      <c r="S3" s="18"/>
      <c r="T3" s="18"/>
      <c r="U3" s="18"/>
      <c r="V3" s="18"/>
      <c r="W3" s="18"/>
      <c r="X3" s="18"/>
      <c r="Y3" s="18"/>
      <c r="Z3" s="18"/>
      <c r="AA3" s="20"/>
    </row>
    <row r="4" ht="13.5" customHeight="1">
      <c r="A4" s="17">
        <v>201810.0</v>
      </c>
      <c r="B4" s="19">
        <f t="shared" ref="B4:B42" si="2">sum(C4:L4)</f>
        <v>148000</v>
      </c>
      <c r="C4" s="21">
        <v>148000.0</v>
      </c>
      <c r="D4" s="18"/>
      <c r="E4" s="18"/>
      <c r="F4" s="18"/>
      <c r="G4" s="18"/>
      <c r="H4" s="18"/>
      <c r="I4" s="18"/>
      <c r="J4" s="18"/>
      <c r="K4" s="18"/>
      <c r="L4" s="18"/>
      <c r="M4" s="19">
        <f t="shared" si="1"/>
        <v>249817.8</v>
      </c>
      <c r="N4" s="18">
        <f>'201810'!B33</f>
        <v>36735.8</v>
      </c>
      <c r="O4" s="18">
        <f>'201810'!C33</f>
        <v>19200</v>
      </c>
      <c r="P4" s="18">
        <f>'201810'!D33</f>
        <v>33407</v>
      </c>
      <c r="Q4" s="18">
        <f>'201810'!E33</f>
        <v>160475</v>
      </c>
      <c r="R4" s="20"/>
      <c r="S4" s="18"/>
      <c r="T4" s="18"/>
      <c r="U4" s="18"/>
      <c r="V4" s="18"/>
      <c r="W4" s="19">
        <f t="shared" ref="W4:W42" si="3">sum(X4:Z4)</f>
        <v>148000</v>
      </c>
      <c r="X4" s="18">
        <v>148000.0</v>
      </c>
      <c r="Y4" s="18"/>
      <c r="Z4" s="18"/>
      <c r="AA4" s="22">
        <f t="shared" ref="AA4:AA42" si="4">B4-R4</f>
        <v>148000</v>
      </c>
    </row>
    <row r="5" ht="13.5" customHeight="1">
      <c r="A5" s="17">
        <v>201811.0</v>
      </c>
      <c r="B5" s="19">
        <f t="shared" si="2"/>
        <v>28332</v>
      </c>
      <c r="C5" s="21">
        <v>28332.0</v>
      </c>
      <c r="D5" s="18"/>
      <c r="E5" s="18"/>
      <c r="F5" s="18"/>
      <c r="G5" s="18"/>
      <c r="H5" s="18"/>
      <c r="I5" s="18"/>
      <c r="J5" s="18"/>
      <c r="K5" s="18"/>
      <c r="L5" s="18"/>
      <c r="M5" s="19">
        <f t="shared" si="1"/>
        <v>96650.2277</v>
      </c>
      <c r="N5" s="18">
        <f>'201811'!B32</f>
        <v>38476.9</v>
      </c>
      <c r="O5" s="18">
        <f>'201811'!C32</f>
        <v>11385</v>
      </c>
      <c r="P5" s="18">
        <f>'201811'!D32</f>
        <v>13256.3277</v>
      </c>
      <c r="Q5" s="18">
        <f>'201811'!E32</f>
        <v>33532</v>
      </c>
      <c r="R5" s="20"/>
      <c r="S5" s="18"/>
      <c r="T5" s="18"/>
      <c r="U5" s="18"/>
      <c r="V5" s="18"/>
      <c r="W5" s="19">
        <f t="shared" si="3"/>
        <v>148000</v>
      </c>
      <c r="X5" s="18">
        <v>148000.0</v>
      </c>
      <c r="Y5" s="18"/>
      <c r="Z5" s="18"/>
      <c r="AA5" s="22">
        <f t="shared" si="4"/>
        <v>28332</v>
      </c>
    </row>
    <row r="6" ht="13.5" customHeight="1">
      <c r="A6" s="17">
        <v>201812.0</v>
      </c>
      <c r="B6" s="19">
        <f t="shared" si="2"/>
        <v>101616</v>
      </c>
      <c r="C6" s="21">
        <v>101616.0</v>
      </c>
      <c r="D6" s="18"/>
      <c r="E6" s="18"/>
      <c r="F6" s="18"/>
      <c r="G6" s="18"/>
      <c r="H6" s="18"/>
      <c r="I6" s="18"/>
      <c r="J6" s="18"/>
      <c r="K6" s="18"/>
      <c r="L6" s="18"/>
      <c r="M6" s="19">
        <f t="shared" si="1"/>
        <v>130215.9759</v>
      </c>
      <c r="N6" s="18">
        <f>'201812'!B33</f>
        <v>39012</v>
      </c>
      <c r="O6" s="18">
        <f>'201812'!C33</f>
        <v>18988.7</v>
      </c>
      <c r="P6" s="18">
        <f>'201812'!D33</f>
        <v>13621.2759</v>
      </c>
      <c r="Q6" s="18">
        <f>'201812'!E33</f>
        <v>58594</v>
      </c>
      <c r="R6" s="20"/>
      <c r="S6" s="18"/>
      <c r="T6" s="18"/>
      <c r="U6" s="18"/>
      <c r="V6" s="18"/>
      <c r="W6" s="19">
        <f t="shared" si="3"/>
        <v>148000</v>
      </c>
      <c r="X6" s="18">
        <v>148000.0</v>
      </c>
      <c r="Y6" s="18"/>
      <c r="Z6" s="18"/>
      <c r="AA6" s="22">
        <f t="shared" si="4"/>
        <v>101616</v>
      </c>
    </row>
    <row r="7" ht="13.5" customHeight="1">
      <c r="A7" s="17">
        <v>201901.0</v>
      </c>
      <c r="B7" s="19">
        <f t="shared" si="2"/>
        <v>178336.5376</v>
      </c>
      <c r="C7" s="18">
        <v>91792.0</v>
      </c>
      <c r="D7" s="18">
        <v>57140.0</v>
      </c>
      <c r="E7" s="21">
        <v>0.0</v>
      </c>
      <c r="F7" s="18"/>
      <c r="G7" s="18"/>
      <c r="H7" s="18"/>
      <c r="I7" s="18">
        <f>(17.6+85+1546)*16.13</f>
        <v>26591.918</v>
      </c>
      <c r="J7" s="18">
        <f>106.92*16.13</f>
        <v>1724.6196</v>
      </c>
      <c r="K7" s="21">
        <v>0.0</v>
      </c>
      <c r="L7" s="18">
        <f>68*16</f>
        <v>1088</v>
      </c>
      <c r="M7" s="19">
        <f t="shared" si="1"/>
        <v>162937.4698</v>
      </c>
      <c r="N7" s="18">
        <f>'201901'!B33</f>
        <v>48679</v>
      </c>
      <c r="O7" s="18">
        <f>'201901'!C33</f>
        <v>17290</v>
      </c>
      <c r="P7" s="18">
        <f>'201901'!D33</f>
        <v>43352.4698</v>
      </c>
      <c r="Q7" s="18">
        <f>'201901'!E33</f>
        <v>53616</v>
      </c>
      <c r="R7" s="23"/>
      <c r="S7" s="18"/>
      <c r="T7" s="18"/>
      <c r="U7" s="18"/>
      <c r="V7" s="18"/>
      <c r="W7" s="19">
        <f t="shared" si="3"/>
        <v>148000</v>
      </c>
      <c r="X7" s="18">
        <v>148000.0</v>
      </c>
      <c r="Y7" s="18"/>
      <c r="Z7" s="18"/>
      <c r="AA7" s="22">
        <f t="shared" si="4"/>
        <v>178336.5376</v>
      </c>
    </row>
    <row r="8" ht="13.5" customHeight="1">
      <c r="A8" s="17">
        <v>201902.0</v>
      </c>
      <c r="B8" s="19">
        <f t="shared" si="2"/>
        <v>214730</v>
      </c>
      <c r="C8" s="18">
        <f>148000+13724</f>
        <v>161724</v>
      </c>
      <c r="D8" s="18">
        <v>14942.0</v>
      </c>
      <c r="E8" s="21">
        <v>0.0</v>
      </c>
      <c r="F8" s="18"/>
      <c r="G8" s="18"/>
      <c r="H8" s="18"/>
      <c r="I8" s="18">
        <f>(13+100+496)*16</f>
        <v>9744</v>
      </c>
      <c r="J8" s="18">
        <f>1470*16</f>
        <v>23520</v>
      </c>
      <c r="K8" s="21">
        <v>0.0</v>
      </c>
      <c r="L8" s="18">
        <f>300*16</f>
        <v>4800</v>
      </c>
      <c r="M8" s="19">
        <f t="shared" si="1"/>
        <v>96473</v>
      </c>
      <c r="N8" s="18">
        <f>'201902'!B30</f>
        <v>43818</v>
      </c>
      <c r="O8" s="18">
        <f>'201902'!C30</f>
        <v>23820</v>
      </c>
      <c r="P8" s="18">
        <f>'201902'!D30</f>
        <v>5636</v>
      </c>
      <c r="Q8" s="18">
        <f>'201902'!E30</f>
        <v>23199</v>
      </c>
      <c r="R8" s="22">
        <f t="shared" ref="R8:R42" si="5">sum(S8:V8)</f>
        <v>65494</v>
      </c>
      <c r="S8" s="18">
        <f>266*16</f>
        <v>4256</v>
      </c>
      <c r="T8" s="21"/>
      <c r="U8" s="21">
        <v>21462.0</v>
      </c>
      <c r="V8" s="18">
        <f>(86+200+200)*16+2000*16</f>
        <v>39776</v>
      </c>
      <c r="W8" s="19">
        <f t="shared" si="3"/>
        <v>148000</v>
      </c>
      <c r="X8" s="18">
        <v>148000.0</v>
      </c>
      <c r="Y8" s="18"/>
      <c r="Z8" s="18"/>
      <c r="AA8" s="22">
        <f t="shared" si="4"/>
        <v>149236</v>
      </c>
    </row>
    <row r="9" ht="13.5" customHeight="1">
      <c r="A9" s="17">
        <v>201903.0</v>
      </c>
      <c r="B9" s="19">
        <f t="shared" si="2"/>
        <v>264297</v>
      </c>
      <c r="C9" s="21">
        <f>57330+59000</f>
        <v>116330</v>
      </c>
      <c r="D9" s="21">
        <v>7959.0</v>
      </c>
      <c r="E9" s="21">
        <f>2000+5000</f>
        <v>7000</v>
      </c>
      <c r="F9" s="21"/>
      <c r="G9" s="21"/>
      <c r="H9" s="21"/>
      <c r="I9" s="21">
        <f t="shared" ref="I9:I13" si="6">(7+100+496)*16</f>
        <v>9648</v>
      </c>
      <c r="J9" s="21">
        <f>6648*16</f>
        <v>106368</v>
      </c>
      <c r="K9" s="21">
        <f>300*16</f>
        <v>4800</v>
      </c>
      <c r="L9" s="21">
        <f>762*16</f>
        <v>12192</v>
      </c>
      <c r="M9" s="19">
        <f t="shared" si="1"/>
        <v>144302.9</v>
      </c>
      <c r="N9" s="18">
        <f>'201903'!B33</f>
        <v>48796.9</v>
      </c>
      <c r="O9" s="18">
        <f>'201903'!C33</f>
        <v>23065</v>
      </c>
      <c r="P9" s="18">
        <f>'201903'!D33</f>
        <v>8631</v>
      </c>
      <c r="Q9" s="18">
        <f>'201903'!E33</f>
        <v>63810</v>
      </c>
      <c r="R9" s="22">
        <f t="shared" si="5"/>
        <v>147933</v>
      </c>
      <c r="S9" s="21">
        <f>256*16</f>
        <v>4096</v>
      </c>
      <c r="T9" s="18"/>
      <c r="U9" s="18">
        <f>45381+1800</f>
        <v>47181</v>
      </c>
      <c r="V9" s="18">
        <f>(275+5566+200)*16</f>
        <v>96656</v>
      </c>
      <c r="W9" s="19">
        <f t="shared" si="3"/>
        <v>148000</v>
      </c>
      <c r="X9" s="18">
        <v>148000.0</v>
      </c>
      <c r="Y9" s="18"/>
      <c r="Z9" s="18"/>
      <c r="AA9" s="22">
        <f t="shared" si="4"/>
        <v>116364</v>
      </c>
    </row>
    <row r="10" ht="13.5" customHeight="1">
      <c r="A10" s="17">
        <v>201904.0</v>
      </c>
      <c r="B10" s="19">
        <f t="shared" si="2"/>
        <v>348835</v>
      </c>
      <c r="C10" s="21">
        <v>95036.0</v>
      </c>
      <c r="D10" s="21">
        <v>43999.0</v>
      </c>
      <c r="E10" s="21">
        <v>3000.0</v>
      </c>
      <c r="F10" s="18"/>
      <c r="G10" s="18"/>
      <c r="H10" s="18"/>
      <c r="I10" s="18">
        <f t="shared" si="6"/>
        <v>9648</v>
      </c>
      <c r="J10" s="18">
        <f>10699*16</f>
        <v>171184</v>
      </c>
      <c r="K10" s="18">
        <f>1100*16</f>
        <v>17600</v>
      </c>
      <c r="L10" s="18">
        <f t="shared" ref="L10:L12" si="7">523*16</f>
        <v>8368</v>
      </c>
      <c r="M10" s="19">
        <f t="shared" si="1"/>
        <v>142265.9</v>
      </c>
      <c r="N10" s="18">
        <f>'201904'!B32</f>
        <v>31566.5</v>
      </c>
      <c r="O10" s="18">
        <f>'201904'!C32</f>
        <v>9960</v>
      </c>
      <c r="P10" s="18">
        <f>'201904'!D32</f>
        <v>8013.4</v>
      </c>
      <c r="Q10" s="18">
        <f>'201904'!E32</f>
        <v>92726</v>
      </c>
      <c r="R10" s="22">
        <f t="shared" si="5"/>
        <v>219842</v>
      </c>
      <c r="S10" s="18">
        <f>264*16</f>
        <v>4224</v>
      </c>
      <c r="T10" s="21"/>
      <c r="U10" s="21">
        <v>9977.0</v>
      </c>
      <c r="V10" s="18">
        <f>(275+10566+200)*16+28985</f>
        <v>205641</v>
      </c>
      <c r="W10" s="19">
        <f t="shared" si="3"/>
        <v>148000</v>
      </c>
      <c r="X10" s="21">
        <v>148000.0</v>
      </c>
      <c r="Y10" s="18"/>
      <c r="Z10" s="18"/>
      <c r="AA10" s="22">
        <f t="shared" si="4"/>
        <v>128993</v>
      </c>
    </row>
    <row r="11" ht="13.5" customHeight="1">
      <c r="A11" s="17">
        <v>201905.0</v>
      </c>
      <c r="B11" s="19">
        <f t="shared" si="2"/>
        <v>462576</v>
      </c>
      <c r="C11" s="21">
        <v>132122.0</v>
      </c>
      <c r="D11" s="21">
        <v>44622.0</v>
      </c>
      <c r="E11" s="21">
        <v>3000.0</v>
      </c>
      <c r="F11" s="18"/>
      <c r="G11" s="18"/>
      <c r="H11" s="18"/>
      <c r="I11" s="18">
        <f t="shared" si="6"/>
        <v>9648</v>
      </c>
      <c r="J11" s="18">
        <f>14351*16</f>
        <v>229616</v>
      </c>
      <c r="K11" s="18">
        <f>2200*16</f>
        <v>35200</v>
      </c>
      <c r="L11" s="18">
        <f t="shared" si="7"/>
        <v>8368</v>
      </c>
      <c r="M11" s="19">
        <f t="shared" si="1"/>
        <v>116773.475</v>
      </c>
      <c r="N11" s="18">
        <f>'201905'!B33</f>
        <v>33824.475</v>
      </c>
      <c r="O11" s="18">
        <f>'201905'!C33</f>
        <v>3000</v>
      </c>
      <c r="P11" s="18">
        <f>'201905'!D33</f>
        <v>1820</v>
      </c>
      <c r="Q11" s="18">
        <f>'201905'!E33</f>
        <v>78129</v>
      </c>
      <c r="R11" s="22">
        <f t="shared" si="5"/>
        <v>279736</v>
      </c>
      <c r="S11" s="21">
        <v>0.0</v>
      </c>
      <c r="T11" s="18"/>
      <c r="U11" s="18">
        <f>10158+2877</f>
        <v>13035</v>
      </c>
      <c r="V11" s="18">
        <f>(275+15566+200)*16+7045+3000</f>
        <v>266701</v>
      </c>
      <c r="W11" s="19">
        <f t="shared" si="3"/>
        <v>169000</v>
      </c>
      <c r="X11" s="21">
        <v>148000.0</v>
      </c>
      <c r="Y11" s="21"/>
      <c r="Z11" s="21">
        <v>21000.0</v>
      </c>
      <c r="AA11" s="22">
        <f t="shared" si="4"/>
        <v>182840</v>
      </c>
    </row>
    <row r="12" ht="13.5" customHeight="1">
      <c r="A12" s="17">
        <v>201906.0</v>
      </c>
      <c r="B12" s="19">
        <f t="shared" si="2"/>
        <v>527752</v>
      </c>
      <c r="C12" s="21">
        <v>141628.0</v>
      </c>
      <c r="D12" s="21">
        <v>3000.0</v>
      </c>
      <c r="E12" s="21">
        <v>4500.0</v>
      </c>
      <c r="F12" s="18"/>
      <c r="G12" s="18"/>
      <c r="H12" s="18"/>
      <c r="I12" s="18">
        <f t="shared" si="6"/>
        <v>9648</v>
      </c>
      <c r="J12" s="18">
        <f>18628*16</f>
        <v>298048</v>
      </c>
      <c r="K12" s="18">
        <f>3910*16</f>
        <v>62560</v>
      </c>
      <c r="L12" s="18">
        <f t="shared" si="7"/>
        <v>8368</v>
      </c>
      <c r="M12" s="19">
        <f t="shared" si="1"/>
        <v>108178.5</v>
      </c>
      <c r="N12" s="18">
        <f>'201906'!B32</f>
        <v>31518.5</v>
      </c>
      <c r="O12" s="18">
        <f>'201906'!C32</f>
        <v>4840</v>
      </c>
      <c r="P12" s="18">
        <f>'201906'!D32</f>
        <v>2985</v>
      </c>
      <c r="Q12" s="18">
        <f>'201906'!E32</f>
        <v>68835</v>
      </c>
      <c r="R12" s="22">
        <f t="shared" si="5"/>
        <v>269087</v>
      </c>
      <c r="S12" s="21">
        <v>0.0</v>
      </c>
      <c r="T12" s="21"/>
      <c r="U12" s="21">
        <v>4386.0</v>
      </c>
      <c r="V12" s="18">
        <f t="shared" ref="V12:V13" si="8">(275+15566+200)*16+5045+3000</f>
        <v>264701</v>
      </c>
      <c r="W12" s="19">
        <f t="shared" si="3"/>
        <v>169500</v>
      </c>
      <c r="X12" s="21">
        <v>148000.0</v>
      </c>
      <c r="Y12" s="21"/>
      <c r="Z12" s="21">
        <f>(15300-13800)+20000</f>
        <v>21500</v>
      </c>
      <c r="AA12" s="22">
        <f t="shared" si="4"/>
        <v>258665</v>
      </c>
    </row>
    <row r="13" ht="13.5" customHeight="1">
      <c r="A13" s="17">
        <v>201907.0</v>
      </c>
      <c r="B13" s="19">
        <f t="shared" si="2"/>
        <v>599635</v>
      </c>
      <c r="C13" s="21">
        <v>186795.0</v>
      </c>
      <c r="D13" s="21">
        <v>20000.0</v>
      </c>
      <c r="E13" s="18">
        <f>1456+3000</f>
        <v>4456</v>
      </c>
      <c r="F13" s="18"/>
      <c r="G13" s="18"/>
      <c r="H13" s="18"/>
      <c r="I13" s="18">
        <f t="shared" si="6"/>
        <v>9648</v>
      </c>
      <c r="J13" s="18">
        <f>16717*16</f>
        <v>267472</v>
      </c>
      <c r="K13" s="21">
        <f>6286*16</f>
        <v>100576</v>
      </c>
      <c r="L13" s="18">
        <f>(594+74)*16</f>
        <v>10688</v>
      </c>
      <c r="M13" s="19">
        <f t="shared" si="1"/>
        <v>110107</v>
      </c>
      <c r="N13" s="18">
        <f>'201907'!B33</f>
        <v>28955</v>
      </c>
      <c r="O13" s="18">
        <f>'201907'!C33</f>
        <v>0</v>
      </c>
      <c r="P13" s="18">
        <f>'201907'!D33</f>
        <v>4540</v>
      </c>
      <c r="Q13" s="18">
        <f>'201907'!E33</f>
        <v>76612</v>
      </c>
      <c r="R13" s="22">
        <f t="shared" si="5"/>
        <v>271757</v>
      </c>
      <c r="S13" s="21">
        <v>0.0</v>
      </c>
      <c r="T13" s="21"/>
      <c r="U13" s="21">
        <f>15741-3950-1990-2745</f>
        <v>7056</v>
      </c>
      <c r="V13" s="18">
        <f t="shared" si="8"/>
        <v>264701</v>
      </c>
      <c r="W13" s="19">
        <f t="shared" si="3"/>
        <v>187330</v>
      </c>
      <c r="X13" s="21">
        <v>148000.0</v>
      </c>
      <c r="Y13" s="21"/>
      <c r="Z13" s="21">
        <f>15330+3000+3000+1200+16800</f>
        <v>39330</v>
      </c>
      <c r="AA13" s="22">
        <f t="shared" si="4"/>
        <v>327878</v>
      </c>
    </row>
    <row r="14" ht="13.5" customHeight="1">
      <c r="A14" s="17">
        <v>201908.0</v>
      </c>
      <c r="B14" s="19">
        <f t="shared" si="2"/>
        <v>545548</v>
      </c>
      <c r="C14" s="21">
        <v>156954.0</v>
      </c>
      <c r="D14" s="21">
        <v>3600.0</v>
      </c>
      <c r="E14" s="18">
        <f>2986+2600</f>
        <v>5586</v>
      </c>
      <c r="F14" s="21"/>
      <c r="G14" s="21"/>
      <c r="H14" s="21"/>
      <c r="I14" s="21">
        <v>9648.0</v>
      </c>
      <c r="J14" s="21">
        <f>3656*16</f>
        <v>58496</v>
      </c>
      <c r="K14" s="18">
        <f>19410*16</f>
        <v>310560</v>
      </c>
      <c r="L14" s="18">
        <f>44*16</f>
        <v>704</v>
      </c>
      <c r="M14" s="19">
        <f t="shared" si="1"/>
        <v>176923.5</v>
      </c>
      <c r="N14" s="18">
        <f>'201908'!B33</f>
        <v>47215.5</v>
      </c>
      <c r="O14" s="18">
        <f>'201908'!C33</f>
        <v>15885</v>
      </c>
      <c r="P14" s="18">
        <f>'201908'!D33</f>
        <v>14521</v>
      </c>
      <c r="Q14" s="18">
        <f>'201908'!E33</f>
        <v>99302</v>
      </c>
      <c r="R14" s="22">
        <f t="shared" si="5"/>
        <v>236545</v>
      </c>
      <c r="S14" s="21">
        <v>3800.0</v>
      </c>
      <c r="T14" s="21"/>
      <c r="U14" s="21">
        <v>21269.0</v>
      </c>
      <c r="V14" s="18">
        <f>(275+15566+200)*16+1120-46300</f>
        <v>211476</v>
      </c>
      <c r="W14" s="19">
        <f t="shared" si="3"/>
        <v>168300</v>
      </c>
      <c r="X14" s="21">
        <v>148000.0</v>
      </c>
      <c r="Y14" s="21"/>
      <c r="Z14" s="21">
        <v>20300.0</v>
      </c>
      <c r="AA14" s="22">
        <f t="shared" si="4"/>
        <v>309003</v>
      </c>
    </row>
    <row r="15" ht="13.5" customHeight="1">
      <c r="A15" s="17">
        <v>201909.0</v>
      </c>
      <c r="B15" s="19">
        <f t="shared" si="2"/>
        <v>682064</v>
      </c>
      <c r="C15" s="21">
        <v>40616.0</v>
      </c>
      <c r="D15" s="21">
        <v>21000.0</v>
      </c>
      <c r="E15" s="18">
        <f>60696+3928</f>
        <v>64624</v>
      </c>
      <c r="F15" s="21"/>
      <c r="G15" s="21"/>
      <c r="H15" s="21"/>
      <c r="I15" s="21">
        <v>9648.0</v>
      </c>
      <c r="J15" s="18">
        <f>11394*16</f>
        <v>182304</v>
      </c>
      <c r="K15" s="18">
        <f>21542*16</f>
        <v>344672</v>
      </c>
      <c r="L15" s="21">
        <f>1200*16</f>
        <v>19200</v>
      </c>
      <c r="M15" s="19">
        <f t="shared" si="1"/>
        <v>90129</v>
      </c>
      <c r="N15" s="18">
        <f>'201909'!B32</f>
        <v>41020</v>
      </c>
      <c r="O15" s="18">
        <f>'201909'!C32</f>
        <v>11850</v>
      </c>
      <c r="P15" s="18">
        <f>'201909'!D32</f>
        <v>4898</v>
      </c>
      <c r="Q15" s="18">
        <f>'201909'!E32</f>
        <v>32361</v>
      </c>
      <c r="R15" s="22">
        <f t="shared" si="5"/>
        <v>276439</v>
      </c>
      <c r="S15" s="21">
        <v>0.0</v>
      </c>
      <c r="T15" s="21"/>
      <c r="U15" s="21">
        <v>16033.0</v>
      </c>
      <c r="V15" s="18">
        <f>(275+15566+200)*16+3050+700</f>
        <v>260406</v>
      </c>
      <c r="W15" s="19">
        <f t="shared" si="3"/>
        <v>172427</v>
      </c>
      <c r="X15" s="21">
        <v>148000.0</v>
      </c>
      <c r="Y15" s="21"/>
      <c r="Z15" s="21">
        <f>20500+1600+2327</f>
        <v>24427</v>
      </c>
      <c r="AA15" s="22">
        <f t="shared" si="4"/>
        <v>405625</v>
      </c>
    </row>
    <row r="16" ht="13.5" customHeight="1">
      <c r="A16" s="17">
        <v>201910.0</v>
      </c>
      <c r="B16" s="19">
        <f t="shared" si="2"/>
        <v>955209</v>
      </c>
      <c r="C16" s="21">
        <f>147393-8850</f>
        <v>138543</v>
      </c>
      <c r="D16" s="21">
        <v>2700.0</v>
      </c>
      <c r="E16" s="18">
        <f>27568</f>
        <v>27568</v>
      </c>
      <c r="F16" s="21">
        <v>3000.0</v>
      </c>
      <c r="G16" s="21">
        <v>113030.0</v>
      </c>
      <c r="H16" s="21"/>
      <c r="I16" s="21">
        <v>9648.0</v>
      </c>
      <c r="J16" s="18">
        <f>19270*16</f>
        <v>308320</v>
      </c>
      <c r="K16" s="18">
        <f>20425*16</f>
        <v>326800</v>
      </c>
      <c r="L16" s="18">
        <f t="shared" ref="L16:L17" si="9">1600*16</f>
        <v>25600</v>
      </c>
      <c r="M16" s="19">
        <f t="shared" si="1"/>
        <v>111409.5</v>
      </c>
      <c r="N16" s="18">
        <f>'201910'!B33</f>
        <v>36842</v>
      </c>
      <c r="O16" s="18">
        <f>'201910'!C33</f>
        <v>15887</v>
      </c>
      <c r="P16" s="18">
        <f>'201910'!D33</f>
        <v>13503.5</v>
      </c>
      <c r="Q16" s="18">
        <f>'201910'!E33</f>
        <v>45177</v>
      </c>
      <c r="R16" s="22">
        <f t="shared" si="5"/>
        <v>394890</v>
      </c>
      <c r="S16" s="21">
        <v>0.0</v>
      </c>
      <c r="T16" s="18"/>
      <c r="U16" s="18">
        <f>(38985-23000)+39199</f>
        <v>55184</v>
      </c>
      <c r="V16" s="18">
        <f t="shared" ref="V16:V17" si="10">(275+20566+200)*16+3050</f>
        <v>339706</v>
      </c>
      <c r="W16" s="19">
        <f t="shared" si="3"/>
        <v>172660</v>
      </c>
      <c r="X16" s="21">
        <v>148000.0</v>
      </c>
      <c r="Y16" s="18"/>
      <c r="Z16" s="18">
        <f>18260+400*16</f>
        <v>24660</v>
      </c>
      <c r="AA16" s="22">
        <f t="shared" si="4"/>
        <v>560319</v>
      </c>
    </row>
    <row r="17" ht="13.5" customHeight="1">
      <c r="A17" s="17">
        <v>201911.0</v>
      </c>
      <c r="B17" s="19">
        <f t="shared" si="2"/>
        <v>943524</v>
      </c>
      <c r="C17" s="21">
        <v>126398.0</v>
      </c>
      <c r="D17" s="21">
        <v>1730.0</v>
      </c>
      <c r="E17" s="21">
        <f>2646</f>
        <v>2646</v>
      </c>
      <c r="F17" s="21">
        <v>3000.0</v>
      </c>
      <c r="G17" s="21">
        <v>113030.0</v>
      </c>
      <c r="H17" s="21"/>
      <c r="I17" s="21">
        <v>9648.0</v>
      </c>
      <c r="J17" s="18">
        <f>21604*16</f>
        <v>345664</v>
      </c>
      <c r="K17" s="18">
        <f>19738*16</f>
        <v>315808</v>
      </c>
      <c r="L17" s="18">
        <f t="shared" si="9"/>
        <v>25600</v>
      </c>
      <c r="M17" s="19">
        <f t="shared" si="1"/>
        <v>58021.5</v>
      </c>
      <c r="N17" s="18">
        <f>'201911'!B32</f>
        <v>38684.5</v>
      </c>
      <c r="O17" s="18">
        <f>'201911'!C32</f>
        <v>3429</v>
      </c>
      <c r="P17" s="18">
        <f>'201911'!D32</f>
        <v>2720.5</v>
      </c>
      <c r="Q17" s="18">
        <f>'201911'!E32</f>
        <v>13187.5</v>
      </c>
      <c r="R17" s="22">
        <f t="shared" si="5"/>
        <v>381702</v>
      </c>
      <c r="S17" s="21">
        <f>220*16</f>
        <v>3520</v>
      </c>
      <c r="T17" s="18"/>
      <c r="U17" s="18">
        <f>24657+13819</f>
        <v>38476</v>
      </c>
      <c r="V17" s="18">
        <f t="shared" si="10"/>
        <v>339706</v>
      </c>
      <c r="W17" s="19">
        <f t="shared" si="3"/>
        <v>175141</v>
      </c>
      <c r="X17" s="21">
        <v>148000.0</v>
      </c>
      <c r="Y17" s="18"/>
      <c r="Z17" s="21">
        <f>15950+4890+6301</f>
        <v>27141</v>
      </c>
      <c r="AA17" s="22">
        <f t="shared" si="4"/>
        <v>561822</v>
      </c>
    </row>
    <row r="18" ht="13.5" customHeight="1">
      <c r="A18" s="17">
        <v>201912.0</v>
      </c>
      <c r="B18" s="19">
        <f t="shared" si="2"/>
        <v>1055839</v>
      </c>
      <c r="C18" s="21">
        <v>180551.0</v>
      </c>
      <c r="D18" s="21">
        <v>10000.0</v>
      </c>
      <c r="E18" s="18">
        <f>2000</f>
        <v>2000</v>
      </c>
      <c r="F18" s="21">
        <v>658.0</v>
      </c>
      <c r="G18" s="21">
        <v>113030.0</v>
      </c>
      <c r="H18" s="21"/>
      <c r="I18" s="21">
        <v>9648.0</v>
      </c>
      <c r="J18" s="18">
        <f>23858*16</f>
        <v>381728</v>
      </c>
      <c r="K18" s="18">
        <f>20889*16</f>
        <v>334224</v>
      </c>
      <c r="L18" s="18">
        <f>1500*16</f>
        <v>24000</v>
      </c>
      <c r="M18" s="19">
        <f t="shared" si="1"/>
        <v>117885.5</v>
      </c>
      <c r="N18" s="18">
        <f>'201912'!B33</f>
        <v>40954</v>
      </c>
      <c r="O18" s="18">
        <f>'201912'!C33</f>
        <v>16500</v>
      </c>
      <c r="P18" s="18">
        <f>'201912'!D33</f>
        <v>34834.5</v>
      </c>
      <c r="Q18" s="18">
        <f>'201912'!E33</f>
        <v>25597</v>
      </c>
      <c r="R18" s="22">
        <f t="shared" si="5"/>
        <v>444599</v>
      </c>
      <c r="S18" s="21">
        <v>0.0</v>
      </c>
      <c r="T18" s="18"/>
      <c r="U18" s="18">
        <f>9490+96453</f>
        <v>105943</v>
      </c>
      <c r="V18" s="18">
        <f>(275+20566+200)*16+2000</f>
        <v>338656</v>
      </c>
      <c r="W18" s="19">
        <f t="shared" si="3"/>
        <v>172950</v>
      </c>
      <c r="X18" s="21">
        <v>148000.0</v>
      </c>
      <c r="Y18" s="18"/>
      <c r="Z18" s="21">
        <f>19850+5100</f>
        <v>24950</v>
      </c>
      <c r="AA18" s="22">
        <f t="shared" si="4"/>
        <v>611240</v>
      </c>
    </row>
    <row r="19" ht="13.5" customHeight="1">
      <c r="A19" s="24">
        <v>202001.0</v>
      </c>
      <c r="B19" s="19">
        <f t="shared" si="2"/>
        <v>1122758</v>
      </c>
      <c r="C19" s="18">
        <f>148000+4952</f>
        <v>152952</v>
      </c>
      <c r="D19" s="21">
        <v>15000.0</v>
      </c>
      <c r="E19" s="21">
        <f>0</f>
        <v>0</v>
      </c>
      <c r="F19" s="21">
        <v>4800.0</v>
      </c>
      <c r="G19" s="21">
        <v>113030.0</v>
      </c>
      <c r="H19" s="21"/>
      <c r="I19" s="21">
        <v>9648.0</v>
      </c>
      <c r="J19" s="18">
        <f>39876*16</f>
        <v>638016</v>
      </c>
      <c r="K19" s="18">
        <f>9852*16</f>
        <v>157632</v>
      </c>
      <c r="L19" s="18">
        <f>1980*16</f>
        <v>31680</v>
      </c>
      <c r="M19" s="19">
        <f t="shared" si="1"/>
        <v>70901.5</v>
      </c>
      <c r="N19" s="18">
        <f>'202001'!B33</f>
        <v>43466</v>
      </c>
      <c r="O19" s="18">
        <f>'202001'!C33</f>
        <v>7310</v>
      </c>
      <c r="P19" s="18">
        <f>'202001'!D33</f>
        <v>2768</v>
      </c>
      <c r="Q19" s="18">
        <f>'202001'!E33</f>
        <v>17357.5</v>
      </c>
      <c r="R19" s="22">
        <f t="shared" si="5"/>
        <v>460583</v>
      </c>
      <c r="S19" s="21">
        <f t="shared" ref="S19:S20" si="11">0</f>
        <v>0</v>
      </c>
      <c r="T19" s="18">
        <f>428*16</f>
        <v>6848</v>
      </c>
      <c r="U19" s="18">
        <f>14093+20986</f>
        <v>35079</v>
      </c>
      <c r="V19" s="18">
        <f>(275+25566+200)*16+2000</f>
        <v>418656</v>
      </c>
      <c r="W19" s="19">
        <f t="shared" si="3"/>
        <v>153000</v>
      </c>
      <c r="X19" s="21">
        <v>148000.0</v>
      </c>
      <c r="Y19" s="18"/>
      <c r="Z19" s="21">
        <v>5000.0</v>
      </c>
      <c r="AA19" s="22">
        <f t="shared" si="4"/>
        <v>662175</v>
      </c>
    </row>
    <row r="20" ht="13.5" customHeight="1">
      <c r="A20" s="24">
        <v>202002.0</v>
      </c>
      <c r="B20" s="19">
        <f t="shared" si="2"/>
        <v>1312474</v>
      </c>
      <c r="C20" s="21">
        <v>263032.0</v>
      </c>
      <c r="D20" s="21">
        <v>500.0</v>
      </c>
      <c r="E20" s="21">
        <f>6600</f>
        <v>6600</v>
      </c>
      <c r="F20" s="21">
        <v>4800.0</v>
      </c>
      <c r="G20" s="21">
        <v>113030.0</v>
      </c>
      <c r="H20" s="21"/>
      <c r="I20" s="21">
        <v>9648.0</v>
      </c>
      <c r="J20" s="18">
        <f>34246*16</f>
        <v>547936</v>
      </c>
      <c r="K20" s="18">
        <f>20563*16</f>
        <v>329008</v>
      </c>
      <c r="L20" s="18">
        <f t="shared" ref="L20:L23" si="12">2370*16</f>
        <v>37920</v>
      </c>
      <c r="M20" s="19">
        <f t="shared" si="1"/>
        <v>89605.5</v>
      </c>
      <c r="N20" s="18">
        <f>'202002'!B31</f>
        <v>53590.5</v>
      </c>
      <c r="O20" s="18">
        <f>'202002'!C31</f>
        <v>1190</v>
      </c>
      <c r="P20" s="18">
        <f>'202002'!D31</f>
        <v>2105</v>
      </c>
      <c r="Q20" s="18">
        <f>'202002'!E31</f>
        <v>32720</v>
      </c>
      <c r="R20" s="22">
        <f t="shared" si="5"/>
        <v>539208</v>
      </c>
      <c r="S20" s="18">
        <f t="shared" si="11"/>
        <v>0</v>
      </c>
      <c r="T20" s="18">
        <f>434*16</f>
        <v>6944</v>
      </c>
      <c r="U20" s="18">
        <f>14419+92629</f>
        <v>107048</v>
      </c>
      <c r="V20" s="18">
        <f>(475+25766+210)*16+2000</f>
        <v>425216</v>
      </c>
      <c r="W20" s="19">
        <f t="shared" si="3"/>
        <v>154159</v>
      </c>
      <c r="X20" s="21">
        <v>148000.0</v>
      </c>
      <c r="Y20" s="18"/>
      <c r="Z20" s="21">
        <v>6159.0</v>
      </c>
      <c r="AA20" s="22">
        <f t="shared" si="4"/>
        <v>773266</v>
      </c>
    </row>
    <row r="21" ht="13.5" customHeight="1">
      <c r="A21" s="24">
        <v>202003.0</v>
      </c>
      <c r="B21" s="19">
        <f t="shared" si="2"/>
        <v>1291613</v>
      </c>
      <c r="C21" s="21">
        <f>140000+6585</f>
        <v>146585</v>
      </c>
      <c r="D21" s="21">
        <v>47800.0</v>
      </c>
      <c r="E21" s="18">
        <f>3219</f>
        <v>3219</v>
      </c>
      <c r="F21" s="21">
        <v>4800.0</v>
      </c>
      <c r="G21" s="21">
        <v>113030.0</v>
      </c>
      <c r="H21" s="18"/>
      <c r="I21" s="18">
        <f t="shared" ref="I21:I23" si="13">5152*16</f>
        <v>82432</v>
      </c>
      <c r="J21" s="18">
        <f t="shared" ref="J21:J22" si="14">7157*16</f>
        <v>114512</v>
      </c>
      <c r="K21" s="18">
        <f t="shared" ref="K21:K22" si="15">49421*15</f>
        <v>741315</v>
      </c>
      <c r="L21" s="18">
        <f t="shared" si="12"/>
        <v>37920</v>
      </c>
      <c r="M21" s="19">
        <f t="shared" si="1"/>
        <v>249317.5</v>
      </c>
      <c r="N21" s="21">
        <f>'202003'!B33</f>
        <v>50755.5</v>
      </c>
      <c r="O21" s="21">
        <f>'202003'!C33</f>
        <v>15450</v>
      </c>
      <c r="P21" s="21">
        <f>'202003'!D33</f>
        <v>23510</v>
      </c>
      <c r="Q21" s="21">
        <f>'202003'!E33</f>
        <v>159602</v>
      </c>
      <c r="R21" s="22">
        <f t="shared" si="5"/>
        <v>621652</v>
      </c>
      <c r="S21" s="21">
        <v>0.0</v>
      </c>
      <c r="T21" s="18"/>
      <c r="U21" s="18">
        <f>6242+110194</f>
        <v>116436</v>
      </c>
      <c r="V21" s="18">
        <f t="shared" ref="V21:V24" si="16">(475+30766+210)*16+2000</f>
        <v>505216</v>
      </c>
      <c r="W21" s="19">
        <f t="shared" si="3"/>
        <v>220735</v>
      </c>
      <c r="X21" s="21">
        <v>148000.0</v>
      </c>
      <c r="Y21" s="18"/>
      <c r="Z21" s="18">
        <f>3329*15+22800</f>
        <v>72735</v>
      </c>
      <c r="AA21" s="22">
        <f t="shared" si="4"/>
        <v>669961</v>
      </c>
    </row>
    <row r="22" ht="13.5" customHeight="1">
      <c r="A22" s="24">
        <v>202004.0</v>
      </c>
      <c r="B22" s="19">
        <f t="shared" si="2"/>
        <v>1261133</v>
      </c>
      <c r="C22" s="21">
        <f>231343-110194</f>
        <v>121149</v>
      </c>
      <c r="D22" s="21">
        <v>43800.0</v>
      </c>
      <c r="E22" s="18">
        <f>2175</f>
        <v>2175</v>
      </c>
      <c r="F22" s="21">
        <v>4800.0</v>
      </c>
      <c r="G22" s="21">
        <v>113030.0</v>
      </c>
      <c r="H22" s="18"/>
      <c r="I22" s="18">
        <f t="shared" si="13"/>
        <v>82432</v>
      </c>
      <c r="J22" s="18">
        <f t="shared" si="14"/>
        <v>114512</v>
      </c>
      <c r="K22" s="18">
        <f t="shared" si="15"/>
        <v>741315</v>
      </c>
      <c r="L22" s="18">
        <f t="shared" si="12"/>
        <v>37920</v>
      </c>
      <c r="M22" s="19">
        <f t="shared" si="1"/>
        <v>129322</v>
      </c>
      <c r="N22" s="21">
        <v>49498.0</v>
      </c>
      <c r="O22" s="21">
        <v>0.0</v>
      </c>
      <c r="P22" s="21">
        <v>30962.0</v>
      </c>
      <c r="Q22" s="21">
        <v>48862.0</v>
      </c>
      <c r="R22" s="22">
        <f t="shared" si="5"/>
        <v>607526</v>
      </c>
      <c r="S22" s="21">
        <v>0.0</v>
      </c>
      <c r="T22" s="18"/>
      <c r="U22" s="18">
        <f>5664+96646</f>
        <v>102310</v>
      </c>
      <c r="V22" s="18">
        <f t="shared" si="16"/>
        <v>505216</v>
      </c>
      <c r="W22" s="19">
        <f t="shared" si="3"/>
        <v>148000</v>
      </c>
      <c r="X22" s="21">
        <v>148000.0</v>
      </c>
      <c r="Y22" s="18"/>
      <c r="Z22" s="21">
        <v>0.0</v>
      </c>
      <c r="AA22" s="22">
        <f t="shared" si="4"/>
        <v>653607</v>
      </c>
    </row>
    <row r="23" ht="13.5" customHeight="1">
      <c r="A23" s="24">
        <v>202005.0</v>
      </c>
      <c r="B23" s="19">
        <f t="shared" si="2"/>
        <v>1376848</v>
      </c>
      <c r="C23" s="21">
        <f>216885-100239</f>
        <v>116646</v>
      </c>
      <c r="D23" s="21">
        <v>10400.0</v>
      </c>
      <c r="E23" s="21">
        <f>4932</f>
        <v>4932</v>
      </c>
      <c r="F23" s="21">
        <v>4800.0</v>
      </c>
      <c r="G23" s="21">
        <v>113030.0</v>
      </c>
      <c r="H23" s="18"/>
      <c r="I23" s="18">
        <f t="shared" si="13"/>
        <v>82432</v>
      </c>
      <c r="J23" s="18">
        <f>12247*16</f>
        <v>195952</v>
      </c>
      <c r="K23" s="18">
        <f>50671*16</f>
        <v>810736</v>
      </c>
      <c r="L23" s="18">
        <f t="shared" si="12"/>
        <v>37920</v>
      </c>
      <c r="M23" s="19">
        <f t="shared" si="1"/>
        <v>96365</v>
      </c>
      <c r="N23" s="21">
        <v>43961.0</v>
      </c>
      <c r="O23" s="21">
        <v>0.0</v>
      </c>
      <c r="P23" s="21">
        <v>8608.0</v>
      </c>
      <c r="Q23" s="21">
        <v>43796.0</v>
      </c>
      <c r="R23" s="22">
        <f t="shared" si="5"/>
        <v>544626</v>
      </c>
      <c r="S23" s="21">
        <v>0.0</v>
      </c>
      <c r="T23" s="21"/>
      <c r="U23" s="21">
        <f>5420+33990</f>
        <v>39410</v>
      </c>
      <c r="V23" s="18">
        <f t="shared" si="16"/>
        <v>505216</v>
      </c>
      <c r="W23" s="19">
        <f t="shared" si="3"/>
        <v>156400</v>
      </c>
      <c r="X23" s="21">
        <v>148000.0</v>
      </c>
      <c r="Y23" s="18"/>
      <c r="Z23" s="21">
        <v>8400.0</v>
      </c>
      <c r="AA23" s="22">
        <f t="shared" si="4"/>
        <v>832222</v>
      </c>
    </row>
    <row r="24" ht="13.5" customHeight="1">
      <c r="A24" s="24">
        <v>202006.0</v>
      </c>
      <c r="B24" s="19">
        <f t="shared" si="2"/>
        <v>1602453</v>
      </c>
      <c r="C24" s="21">
        <f>167439+148000</f>
        <v>315439</v>
      </c>
      <c r="D24" s="21">
        <v>9800.0</v>
      </c>
      <c r="E24" s="18">
        <f>31560</f>
        <v>31560</v>
      </c>
      <c r="F24" s="21">
        <v>4800.0</v>
      </c>
      <c r="G24" s="21">
        <v>113030.0</v>
      </c>
      <c r="H24" s="18"/>
      <c r="I24" s="18">
        <f>(8+3332+465)*16</f>
        <v>60880</v>
      </c>
      <c r="J24" s="18">
        <f>12354*16</f>
        <v>197664</v>
      </c>
      <c r="K24" s="18">
        <f>52432*16</f>
        <v>838912</v>
      </c>
      <c r="L24" s="18">
        <f>(1856+42)*16</f>
        <v>30368</v>
      </c>
      <c r="M24" s="19">
        <f t="shared" si="1"/>
        <v>107883</v>
      </c>
      <c r="N24" s="21">
        <v>49992.0</v>
      </c>
      <c r="O24" s="21">
        <v>2230.0</v>
      </c>
      <c r="P24" s="21">
        <v>3185.0</v>
      </c>
      <c r="Q24" s="21">
        <v>52476.0</v>
      </c>
      <c r="R24" s="22">
        <f t="shared" si="5"/>
        <v>545168</v>
      </c>
      <c r="S24" s="21">
        <v>0.0</v>
      </c>
      <c r="T24" s="18"/>
      <c r="U24" s="18">
        <f>5620+34332</f>
        <v>39952</v>
      </c>
      <c r="V24" s="18">
        <f t="shared" si="16"/>
        <v>505216</v>
      </c>
      <c r="W24" s="19">
        <f t="shared" si="3"/>
        <v>178800</v>
      </c>
      <c r="X24" s="21">
        <v>148000.0</v>
      </c>
      <c r="Y24" s="18"/>
      <c r="Z24" s="21">
        <f>16800+14000</f>
        <v>30800</v>
      </c>
      <c r="AA24" s="22">
        <f t="shared" si="4"/>
        <v>1057285</v>
      </c>
    </row>
    <row r="25" ht="13.5" customHeight="1">
      <c r="A25" s="24">
        <v>202007.0</v>
      </c>
      <c r="B25" s="19">
        <f t="shared" si="2"/>
        <v>1728494</v>
      </c>
      <c r="C25" s="21">
        <v>308608.0</v>
      </c>
      <c r="D25" s="21">
        <v>21700.0</v>
      </c>
      <c r="E25" s="18">
        <f>35284</f>
        <v>35284</v>
      </c>
      <c r="F25" s="21">
        <v>4800.0</v>
      </c>
      <c r="G25" s="21">
        <v>113030.0</v>
      </c>
      <c r="H25" s="18"/>
      <c r="I25" s="18">
        <f t="shared" ref="I25:I30" si="17">(8+4132+465)*16</f>
        <v>73680</v>
      </c>
      <c r="J25" s="18">
        <f>12371*16</f>
        <v>197936</v>
      </c>
      <c r="K25" s="18">
        <f>59268*16</f>
        <v>948288</v>
      </c>
      <c r="L25" s="18">
        <f>(1531+42)*16</f>
        <v>25168</v>
      </c>
      <c r="M25" s="19">
        <f t="shared" si="1"/>
        <v>147511</v>
      </c>
      <c r="N25" s="21">
        <v>50826.0</v>
      </c>
      <c r="O25" s="21">
        <v>230.0</v>
      </c>
      <c r="P25" s="21">
        <v>23984.0</v>
      </c>
      <c r="Q25" s="21">
        <v>72471.0</v>
      </c>
      <c r="R25" s="22">
        <f t="shared" si="5"/>
        <v>547809</v>
      </c>
      <c r="S25" s="21">
        <v>0.0</v>
      </c>
      <c r="T25" s="21"/>
      <c r="U25" s="21">
        <f>5620+37973</f>
        <v>43593</v>
      </c>
      <c r="V25" s="20">
        <f t="shared" ref="V25:V27" si="18">(475+30766+210)*16+1000</f>
        <v>504216</v>
      </c>
      <c r="W25" s="19">
        <f t="shared" si="3"/>
        <v>303921</v>
      </c>
      <c r="X25" s="21">
        <v>148000.0</v>
      </c>
      <c r="Y25" s="18"/>
      <c r="Z25" s="18">
        <f>800*16+100000+(28000+12600)+2521</f>
        <v>155921</v>
      </c>
      <c r="AA25" s="22">
        <f t="shared" si="4"/>
        <v>1180685</v>
      </c>
    </row>
    <row r="26" ht="13.5" customHeight="1">
      <c r="A26" s="24">
        <v>202008.0</v>
      </c>
      <c r="B26" s="19">
        <f t="shared" si="2"/>
        <v>1799092</v>
      </c>
      <c r="C26" s="21">
        <v>359789.0</v>
      </c>
      <c r="D26" s="21">
        <v>24700.0</v>
      </c>
      <c r="E26" s="21">
        <f>19445</f>
        <v>19445</v>
      </c>
      <c r="F26" s="21">
        <v>4800.0</v>
      </c>
      <c r="G26" s="21">
        <v>113030.0</v>
      </c>
      <c r="H26" s="18"/>
      <c r="I26" s="18">
        <f t="shared" si="17"/>
        <v>73680</v>
      </c>
      <c r="J26" s="18">
        <f>12387*16</f>
        <v>198192</v>
      </c>
      <c r="K26" s="18">
        <f>61281*16</f>
        <v>980496</v>
      </c>
      <c r="L26" s="18">
        <f>(1518+42)*16</f>
        <v>24960</v>
      </c>
      <c r="M26" s="19">
        <f t="shared" si="1"/>
        <v>181499</v>
      </c>
      <c r="N26" s="21">
        <v>48523.0</v>
      </c>
      <c r="O26" s="21">
        <v>0.0</v>
      </c>
      <c r="P26" s="21">
        <v>77571.0</v>
      </c>
      <c r="Q26" s="21">
        <v>55405.0</v>
      </c>
      <c r="R26" s="22">
        <f t="shared" si="5"/>
        <v>593302</v>
      </c>
      <c r="S26" s="21">
        <v>0.0</v>
      </c>
      <c r="T26" s="18"/>
      <c r="U26" s="18">
        <f>5820+83266</f>
        <v>89086</v>
      </c>
      <c r="V26" s="20">
        <f t="shared" si="18"/>
        <v>504216</v>
      </c>
      <c r="W26" s="19">
        <f t="shared" si="3"/>
        <v>180200</v>
      </c>
      <c r="X26" s="21">
        <v>148000.0</v>
      </c>
      <c r="Y26" s="18"/>
      <c r="Z26" s="18">
        <f>12600+19600</f>
        <v>32200</v>
      </c>
      <c r="AA26" s="22">
        <f t="shared" si="4"/>
        <v>1205790</v>
      </c>
    </row>
    <row r="27" ht="13.5" customHeight="1">
      <c r="A27" s="24">
        <v>202009.0</v>
      </c>
      <c r="B27" s="19">
        <f t="shared" si="2"/>
        <v>1765692</v>
      </c>
      <c r="C27" s="21">
        <v>365503.0</v>
      </c>
      <c r="D27" s="21">
        <v>37300.0</v>
      </c>
      <c r="E27" s="18">
        <f>592</f>
        <v>592</v>
      </c>
      <c r="F27" s="21">
        <v>4800.0</v>
      </c>
      <c r="G27" s="21">
        <v>113030.0</v>
      </c>
      <c r="H27" s="21">
        <v>15000.0</v>
      </c>
      <c r="I27" s="18">
        <f t="shared" si="17"/>
        <v>73680</v>
      </c>
      <c r="J27" s="18">
        <f>11229*16+10267</f>
        <v>189931</v>
      </c>
      <c r="K27" s="18">
        <f>58936*16</f>
        <v>942976</v>
      </c>
      <c r="L27" s="18">
        <f>(1388+42)*16</f>
        <v>22880</v>
      </c>
      <c r="M27" s="19">
        <f t="shared" si="1"/>
        <v>112678</v>
      </c>
      <c r="N27" s="21">
        <v>39479.0</v>
      </c>
      <c r="O27" s="21">
        <v>2000.0</v>
      </c>
      <c r="P27" s="21">
        <v>3872.0</v>
      </c>
      <c r="Q27" s="21">
        <v>67327.0</v>
      </c>
      <c r="R27" s="22">
        <f t="shared" si="5"/>
        <v>560230</v>
      </c>
      <c r="S27" s="18">
        <f>296*16</f>
        <v>4736</v>
      </c>
      <c r="T27" s="18"/>
      <c r="U27" s="18">
        <f>5620+45658</f>
        <v>51278</v>
      </c>
      <c r="V27" s="18">
        <f t="shared" si="18"/>
        <v>504216</v>
      </c>
      <c r="W27" s="19">
        <f t="shared" si="3"/>
        <v>153000</v>
      </c>
      <c r="X27" s="21">
        <v>148000.0</v>
      </c>
      <c r="Y27" s="18"/>
      <c r="Z27" s="21">
        <v>5000.0</v>
      </c>
      <c r="AA27" s="22">
        <f t="shared" si="4"/>
        <v>1205462</v>
      </c>
    </row>
    <row r="28" ht="13.5" customHeight="1">
      <c r="A28" s="24">
        <v>202010.0</v>
      </c>
      <c r="B28" s="19">
        <f t="shared" si="2"/>
        <v>1853866</v>
      </c>
      <c r="C28" s="21">
        <v>432706.0</v>
      </c>
      <c r="D28" s="21">
        <v>24300.0</v>
      </c>
      <c r="E28" s="18">
        <f t="shared" ref="E28:E29" si="19">230</f>
        <v>230</v>
      </c>
      <c r="F28" s="21">
        <v>4500.0</v>
      </c>
      <c r="G28" s="21">
        <v>113030.0</v>
      </c>
      <c r="H28" s="21">
        <v>13180.0</v>
      </c>
      <c r="I28" s="18">
        <f t="shared" si="17"/>
        <v>73680</v>
      </c>
      <c r="J28" s="18">
        <f>(11499+1322)*16</f>
        <v>205136</v>
      </c>
      <c r="K28" s="18">
        <f>60160*16</f>
        <v>962560</v>
      </c>
      <c r="L28" s="18">
        <f>(1492+42)*16</f>
        <v>24544</v>
      </c>
      <c r="M28" s="19">
        <f t="shared" si="1"/>
        <v>139868</v>
      </c>
      <c r="N28" s="21">
        <v>50244.0</v>
      </c>
      <c r="O28" s="21">
        <v>0.0</v>
      </c>
      <c r="P28" s="21">
        <v>31514.0</v>
      </c>
      <c r="Q28" s="21">
        <v>58110.0</v>
      </c>
      <c r="R28" s="22">
        <f t="shared" si="5"/>
        <v>610270</v>
      </c>
      <c r="S28" s="21">
        <v>0.0</v>
      </c>
      <c r="T28" s="18"/>
      <c r="U28" s="18">
        <f>8880+89174</f>
        <v>98054</v>
      </c>
      <c r="V28" s="18">
        <f t="shared" ref="V28:V29" si="20">(475+30766+210+500)*16+1000</f>
        <v>512216</v>
      </c>
      <c r="W28" s="19">
        <f t="shared" si="3"/>
        <v>158480</v>
      </c>
      <c r="X28" s="21">
        <v>148000.0</v>
      </c>
      <c r="Y28" s="18"/>
      <c r="Z28" s="21">
        <f>680+9800</f>
        <v>10480</v>
      </c>
      <c r="AA28" s="22">
        <f t="shared" si="4"/>
        <v>1243596</v>
      </c>
    </row>
    <row r="29" ht="13.5" customHeight="1">
      <c r="A29" s="24">
        <v>202011.0</v>
      </c>
      <c r="B29" s="19">
        <f t="shared" si="2"/>
        <v>1949464</v>
      </c>
      <c r="C29" s="21">
        <v>489252.0</v>
      </c>
      <c r="D29" s="21">
        <v>6000.0</v>
      </c>
      <c r="E29" s="18">
        <f t="shared" si="19"/>
        <v>230</v>
      </c>
      <c r="F29" s="21">
        <v>4500.0</v>
      </c>
      <c r="G29" s="21">
        <v>113030.0</v>
      </c>
      <c r="H29" s="21">
        <v>11380.0</v>
      </c>
      <c r="I29" s="18">
        <f t="shared" si="17"/>
        <v>73680</v>
      </c>
      <c r="J29" s="18">
        <f>15529*16</f>
        <v>248464</v>
      </c>
      <c r="K29" s="18">
        <f>61422*16</f>
        <v>982752</v>
      </c>
      <c r="L29" s="18">
        <f>(1219+42)*16</f>
        <v>20176</v>
      </c>
      <c r="M29" s="19">
        <f t="shared" si="1"/>
        <v>122186</v>
      </c>
      <c r="N29" s="21">
        <v>47013.0</v>
      </c>
      <c r="O29" s="21">
        <v>0.0</v>
      </c>
      <c r="P29" s="21">
        <v>9520.0</v>
      </c>
      <c r="Q29" s="21">
        <v>65653.0</v>
      </c>
      <c r="R29" s="22">
        <f t="shared" si="5"/>
        <v>648105</v>
      </c>
      <c r="S29" s="21">
        <v>0.0</v>
      </c>
      <c r="T29" s="18"/>
      <c r="U29" s="18">
        <f>250+135639</f>
        <v>135889</v>
      </c>
      <c r="V29" s="18">
        <f t="shared" si="20"/>
        <v>512216</v>
      </c>
      <c r="W29" s="19">
        <f t="shared" si="3"/>
        <v>160600</v>
      </c>
      <c r="X29" s="21">
        <v>148000.0</v>
      </c>
      <c r="Y29" s="18"/>
      <c r="Z29" s="21">
        <v>12600.0</v>
      </c>
      <c r="AA29" s="22">
        <f t="shared" si="4"/>
        <v>1301359</v>
      </c>
    </row>
    <row r="30" ht="13.5" customHeight="1">
      <c r="A30" s="24">
        <v>202012.0</v>
      </c>
      <c r="B30" s="19">
        <f t="shared" si="2"/>
        <v>1910749</v>
      </c>
      <c r="C30" s="21">
        <v>454293.0</v>
      </c>
      <c r="D30" s="21">
        <v>37880.0</v>
      </c>
      <c r="E30" s="18">
        <f>223</f>
        <v>223</v>
      </c>
      <c r="F30" s="21">
        <v>4500.0</v>
      </c>
      <c r="G30" s="21">
        <v>113030.0</v>
      </c>
      <c r="H30" s="21">
        <v>11079.0</v>
      </c>
      <c r="I30" s="18">
        <f t="shared" si="17"/>
        <v>73680</v>
      </c>
      <c r="J30" s="18">
        <f>14894*16</f>
        <v>238304</v>
      </c>
      <c r="K30" s="18">
        <f>59946*16</f>
        <v>959136</v>
      </c>
      <c r="L30" s="18">
        <f>(1122+42)*16</f>
        <v>18624</v>
      </c>
      <c r="M30" s="19">
        <f t="shared" si="1"/>
        <v>117386</v>
      </c>
      <c r="N30" s="21">
        <v>53999.0</v>
      </c>
      <c r="O30" s="21">
        <v>0.0</v>
      </c>
      <c r="P30" s="21">
        <v>13022.0</v>
      </c>
      <c r="Q30" s="21">
        <v>50365.0</v>
      </c>
      <c r="R30" s="22">
        <f t="shared" si="5"/>
        <v>578274</v>
      </c>
      <c r="S30" s="21">
        <v>0.0</v>
      </c>
      <c r="T30" s="21">
        <f>47*16</f>
        <v>752</v>
      </c>
      <c r="U30" s="18">
        <f>250+72968</f>
        <v>73218</v>
      </c>
      <c r="V30" s="18">
        <f>(475+30766+210+500)*16+1000-7912</f>
        <v>504304</v>
      </c>
      <c r="W30" s="19">
        <f t="shared" si="3"/>
        <v>150930</v>
      </c>
      <c r="X30" s="21">
        <v>148000.0</v>
      </c>
      <c r="Y30" s="18"/>
      <c r="Z30" s="21">
        <v>2930.0</v>
      </c>
      <c r="AA30" s="22">
        <f t="shared" si="4"/>
        <v>1332475</v>
      </c>
    </row>
    <row r="31" ht="13.5" customHeight="1">
      <c r="A31" s="24">
        <v>202101.0</v>
      </c>
      <c r="B31" s="19">
        <f t="shared" si="2"/>
        <v>2146899</v>
      </c>
      <c r="C31" s="25">
        <f>C30+sum('202101'!C3:C70)</f>
        <v>867575</v>
      </c>
      <c r="D31" s="21">
        <v>26000.0</v>
      </c>
      <c r="E31" s="25">
        <f>E30+sum('202101'!E3:E70)</f>
        <v>315</v>
      </c>
      <c r="F31" s="18">
        <v>4500.0</v>
      </c>
      <c r="G31" s="18">
        <v>113030.0</v>
      </c>
      <c r="H31" s="18">
        <v>11079.0</v>
      </c>
      <c r="I31" s="18">
        <v>73680.0</v>
      </c>
      <c r="J31" s="18">
        <f>5234*16</f>
        <v>83744</v>
      </c>
      <c r="K31" s="18">
        <v>947344.0</v>
      </c>
      <c r="L31" s="18">
        <v>19632.0</v>
      </c>
      <c r="M31" s="19">
        <f t="shared" si="1"/>
        <v>210224</v>
      </c>
      <c r="N31" s="26">
        <f>'消费总计2021'!I6</f>
        <v>45339</v>
      </c>
      <c r="O31" s="26">
        <f>'消费总计2021'!J6</f>
        <v>150</v>
      </c>
      <c r="P31" s="26">
        <f>'消费总计2021'!K6</f>
        <v>17445</v>
      </c>
      <c r="Q31" s="26">
        <f>'消费总计2021'!L6</f>
        <v>147290</v>
      </c>
      <c r="R31" s="22">
        <f t="shared" si="5"/>
        <v>865284</v>
      </c>
      <c r="S31" s="21">
        <v>0.0</v>
      </c>
      <c r="T31" s="25">
        <f>T30+sum('202101'!S3:S70)</f>
        <v>920</v>
      </c>
      <c r="U31" s="21">
        <v>119190.0</v>
      </c>
      <c r="V31" s="25">
        <f>V30+sum('202101'!V3:V70)</f>
        <v>745174</v>
      </c>
      <c r="W31" s="19">
        <f t="shared" si="3"/>
        <v>192702</v>
      </c>
      <c r="X31" s="25">
        <f>sum('202101'!W3:W70)</f>
        <v>148000</v>
      </c>
      <c r="Y31" s="25">
        <f>sum('202101'!X3:X70)</f>
        <v>7616</v>
      </c>
      <c r="Z31" s="25">
        <f>sum('202101'!Y3:Y70)</f>
        <v>37086</v>
      </c>
      <c r="AA31" s="22">
        <f t="shared" si="4"/>
        <v>1281615</v>
      </c>
    </row>
    <row r="32" ht="13.5" customHeight="1">
      <c r="A32" s="24">
        <v>202102.0</v>
      </c>
      <c r="B32" s="19">
        <f t="shared" si="2"/>
        <v>2161478</v>
      </c>
      <c r="C32" s="25">
        <f>IFERROR(C31+sum(indirect("'"&amp;$A32&amp;"'!C$4:C200")), "")</f>
        <v>874885</v>
      </c>
      <c r="D32" s="21">
        <v>23760.0</v>
      </c>
      <c r="E32" s="25">
        <f>iferror(E31+sum(indirect("'"&amp;$A32&amp;"'!E4:E200")), "")</f>
        <v>315</v>
      </c>
      <c r="F32" s="21">
        <v>4500.0</v>
      </c>
      <c r="G32" s="18">
        <f>1037*107</f>
        <v>110959</v>
      </c>
      <c r="H32" s="21">
        <v>7779.0</v>
      </c>
      <c r="I32" s="21">
        <v>73680.0</v>
      </c>
      <c r="J32" s="18">
        <f>6171*16</f>
        <v>98736</v>
      </c>
      <c r="K32" s="25">
        <f>iferror(K31+sum(indirect("'"&amp;$A32&amp;"'!K4:K200")), "")</f>
        <v>947824</v>
      </c>
      <c r="L32" s="18">
        <f>(1148+42)*16</f>
        <v>19040</v>
      </c>
      <c r="M32" s="19">
        <f t="shared" si="1"/>
        <v>115529.54</v>
      </c>
      <c r="N32" s="26">
        <f>'消费总计2021'!I11</f>
        <v>44365.04</v>
      </c>
      <c r="O32" s="26">
        <f>'消费总计2021'!J11</f>
        <v>1150</v>
      </c>
      <c r="P32" s="26">
        <f>'消费总计2021'!K11</f>
        <v>6949.5</v>
      </c>
      <c r="Q32" s="26">
        <f>'消费总计2021'!L11</f>
        <v>63065</v>
      </c>
      <c r="R32" s="22">
        <f t="shared" si="5"/>
        <v>828711.64</v>
      </c>
      <c r="S32" s="21">
        <v>0.0</v>
      </c>
      <c r="T32" s="25">
        <f>T31+sum('202102'!S4:S200)</f>
        <v>1320.64</v>
      </c>
      <c r="U32" s="18">
        <f>77078+13952</f>
        <v>91030</v>
      </c>
      <c r="V32" s="25">
        <f>iferror(V31+sum(indirect("'"&amp;$A32&amp;"'!V4:V200")), "")</f>
        <v>736361</v>
      </c>
      <c r="W32" s="19">
        <f t="shared" si="3"/>
        <v>178404.28</v>
      </c>
      <c r="X32" s="25">
        <f>iferror(X31+sum(indirect("'"&amp;$A32&amp;"'!X4:X200")), "")</f>
        <v>148000</v>
      </c>
      <c r="Y32" s="25">
        <f>iferror(sum(indirect("'"&amp;$A32&amp;"'!X4:X200")), "")</f>
        <v>0</v>
      </c>
      <c r="Z32" s="25">
        <f>sum('202102'!Y4:Y200)</f>
        <v>30404.28</v>
      </c>
      <c r="AA32" s="22">
        <f t="shared" si="4"/>
        <v>1332766.36</v>
      </c>
    </row>
    <row r="33" ht="13.5" customHeight="1">
      <c r="A33" s="24">
        <v>202103.0</v>
      </c>
      <c r="B33" s="19">
        <f t="shared" si="2"/>
        <v>2212774.8</v>
      </c>
      <c r="C33" s="25">
        <f>iferror(C32+ SUM(indirect("'"&amp;$A33&amp;"'!"&amp;address(4,column(C32))&amp;":"&amp;address(200,column(C32)))),"")</f>
        <v>898855</v>
      </c>
      <c r="D33" s="21">
        <v>25750.0</v>
      </c>
      <c r="E33" s="25">
        <f t="shared" ref="E33:L33" si="21">iferror(E32+ SUM(indirect("'"&amp;$A33&amp;"'!"&amp;address(4,column(E32))&amp;":"&amp;address(200,column(E32)))),"")</f>
        <v>315</v>
      </c>
      <c r="F33" s="25">
        <f t="shared" si="21"/>
        <v>3400</v>
      </c>
      <c r="G33" s="25">
        <f t="shared" si="21"/>
        <v>110959</v>
      </c>
      <c r="H33" s="25">
        <f t="shared" si="21"/>
        <v>6107</v>
      </c>
      <c r="I33" s="25">
        <f t="shared" si="21"/>
        <v>73680</v>
      </c>
      <c r="J33" s="25">
        <f t="shared" si="21"/>
        <v>111980.8</v>
      </c>
      <c r="K33" s="25">
        <f t="shared" si="21"/>
        <v>948624</v>
      </c>
      <c r="L33" s="25">
        <f t="shared" si="21"/>
        <v>33104</v>
      </c>
      <c r="M33" s="19">
        <f t="shared" si="1"/>
        <v>110597.6</v>
      </c>
      <c r="N33" s="27">
        <f>'消费总计2021'!I16</f>
        <v>50099.6</v>
      </c>
      <c r="O33" s="27">
        <f>'消费总计2021'!J16</f>
        <v>1500</v>
      </c>
      <c r="P33" s="27">
        <f>'消费总计2021'!K16</f>
        <v>1000</v>
      </c>
      <c r="Q33" s="27">
        <f>'消费总计2021'!L16</f>
        <v>57998</v>
      </c>
      <c r="R33" s="22">
        <f t="shared" si="5"/>
        <v>817122.76</v>
      </c>
      <c r="S33" s="25">
        <f t="shared" ref="S33:V33" si="22">iferror(S32+ SUM(indirect("'"&amp;$A33&amp;"'!"&amp;address(4,column(S32))&amp;":"&amp;address(200,column(S32)))),"")</f>
        <v>0</v>
      </c>
      <c r="T33" s="25">
        <f t="shared" si="22"/>
        <v>3245.76</v>
      </c>
      <c r="U33" s="25">
        <f t="shared" si="22"/>
        <v>83918</v>
      </c>
      <c r="V33" s="25">
        <f t="shared" si="22"/>
        <v>729959</v>
      </c>
      <c r="W33" s="19">
        <f t="shared" si="3"/>
        <v>183836.88</v>
      </c>
      <c r="X33" s="25">
        <f t="shared" ref="X33:Z33" si="23">iferror(SUM(indirect("'"&amp;$A33&amp;"'!"&amp;address(4,column(X32))&amp;":"&amp;address(200,column(X32)))),"")</f>
        <v>148000</v>
      </c>
      <c r="Y33" s="25">
        <f t="shared" si="23"/>
        <v>15173.28</v>
      </c>
      <c r="Z33" s="25">
        <f t="shared" si="23"/>
        <v>20663.6</v>
      </c>
      <c r="AA33" s="22">
        <f t="shared" si="4"/>
        <v>1395652.04</v>
      </c>
    </row>
    <row r="34" ht="13.5" customHeight="1">
      <c r="A34" s="24">
        <v>202104.0</v>
      </c>
      <c r="B34" s="19">
        <f t="shared" si="2"/>
        <v>2213032.08</v>
      </c>
      <c r="C34" s="25">
        <f t="shared" ref="C34:D34" si="24">C33+ SUM(indirect("'"&amp;$A34&amp;"'!"&amp;address(4,column(C33))&amp;":"&amp;address(200,column(C33))))</f>
        <v>882789</v>
      </c>
      <c r="D34" s="25">
        <f t="shared" si="24"/>
        <v>44468</v>
      </c>
      <c r="E34" s="25">
        <f t="shared" ref="E34:L34" si="25">iferror(E33+ SUM(indirect("'"&amp;$A34&amp;"'!"&amp;address(4,column(E33))&amp;":"&amp;address(200,column(E33)))),"")</f>
        <v>315</v>
      </c>
      <c r="F34" s="25">
        <f t="shared" si="25"/>
        <v>3400</v>
      </c>
      <c r="G34" s="25">
        <f t="shared" si="25"/>
        <v>110959</v>
      </c>
      <c r="H34" s="25">
        <f t="shared" si="25"/>
        <v>6107</v>
      </c>
      <c r="I34" s="25">
        <f t="shared" si="25"/>
        <v>73680</v>
      </c>
      <c r="J34" s="25">
        <f t="shared" si="25"/>
        <v>108274.08</v>
      </c>
      <c r="K34" s="25">
        <f t="shared" si="25"/>
        <v>949264</v>
      </c>
      <c r="L34" s="25">
        <f t="shared" si="25"/>
        <v>33776</v>
      </c>
      <c r="M34" s="19">
        <f t="shared" si="1"/>
        <v>90129.16</v>
      </c>
      <c r="N34" s="27">
        <f>'消费总计2021'!I21</f>
        <v>48878.16</v>
      </c>
      <c r="O34" s="27">
        <f>'消费总计2021'!J21</f>
        <v>0</v>
      </c>
      <c r="P34" s="27">
        <f>'消费总计2021'!K21</f>
        <v>1965</v>
      </c>
      <c r="Q34" s="27">
        <f>'消费总计2021'!L21</f>
        <v>39286</v>
      </c>
      <c r="R34" s="22">
        <f t="shared" si="5"/>
        <v>768429.88</v>
      </c>
      <c r="S34" s="25">
        <f t="shared" ref="S34:V34" si="26">iferror(S33+ SUM(indirect("'"&amp;$A34&amp;"'!"&amp;address(4,column(S33))&amp;":"&amp;address(200,column(S33)))),"")</f>
        <v>-1600</v>
      </c>
      <c r="T34" s="25">
        <f t="shared" si="26"/>
        <v>2810.88</v>
      </c>
      <c r="U34" s="25">
        <f t="shared" si="26"/>
        <v>37260</v>
      </c>
      <c r="V34" s="25">
        <f t="shared" si="26"/>
        <v>729959</v>
      </c>
      <c r="W34" s="19">
        <f t="shared" si="3"/>
        <v>150456.48</v>
      </c>
      <c r="X34" s="25">
        <f t="shared" ref="X34:Z34" si="27">iferror(SUM(indirect("'"&amp;$A34&amp;"'!"&amp;address(4,column(X33))&amp;":"&amp;address(200,column(X33)))),"")</f>
        <v>148000</v>
      </c>
      <c r="Y34" s="25">
        <f t="shared" si="27"/>
        <v>0</v>
      </c>
      <c r="Z34" s="25">
        <f t="shared" si="27"/>
        <v>2456.48</v>
      </c>
      <c r="AA34" s="22">
        <f t="shared" si="4"/>
        <v>1444602.2</v>
      </c>
    </row>
    <row r="35" ht="13.5" customHeight="1">
      <c r="A35" s="24">
        <v>202105.0</v>
      </c>
      <c r="B35" s="19">
        <f t="shared" si="2"/>
        <v>2312200.68</v>
      </c>
      <c r="C35" s="25">
        <f t="shared" ref="C35:L35" si="28">iferror(C34+ SUM(indirect("'"&amp;$A35&amp;"'!"&amp;address(4,column(C34))&amp;":"&amp;address(200,column(C34)))),"")</f>
        <v>955994</v>
      </c>
      <c r="D35" s="25">
        <f t="shared" si="28"/>
        <v>2158</v>
      </c>
      <c r="E35" s="25">
        <f t="shared" si="28"/>
        <v>315</v>
      </c>
      <c r="F35" s="25">
        <f t="shared" si="28"/>
        <v>3400</v>
      </c>
      <c r="G35" s="25">
        <f t="shared" si="28"/>
        <v>110959</v>
      </c>
      <c r="H35" s="25">
        <f t="shared" si="28"/>
        <v>6107</v>
      </c>
      <c r="I35" s="25">
        <f t="shared" si="28"/>
        <v>155296</v>
      </c>
      <c r="J35" s="25">
        <f t="shared" si="28"/>
        <v>95004</v>
      </c>
      <c r="K35" s="25">
        <f t="shared" si="28"/>
        <v>947463.68</v>
      </c>
      <c r="L35" s="25">
        <f t="shared" si="28"/>
        <v>35504</v>
      </c>
      <c r="M35" s="19">
        <f t="shared" si="1"/>
        <v>118143.22</v>
      </c>
      <c r="N35" s="27">
        <f>'消费总计2021'!I26</f>
        <v>45407.5</v>
      </c>
      <c r="O35" s="27">
        <f>'消费总计2021'!J26</f>
        <v>0</v>
      </c>
      <c r="P35" s="27">
        <f>'消费总计2021'!K26</f>
        <v>35144</v>
      </c>
      <c r="Q35" s="27">
        <f>'消费总计2021'!L26</f>
        <v>37591.72</v>
      </c>
      <c r="R35" s="22">
        <f t="shared" si="5"/>
        <v>745083.56</v>
      </c>
      <c r="S35" s="25">
        <f t="shared" ref="S35:V35" si="29">iferror(S34+ SUM(indirect("'"&amp;$A35&amp;"'!"&amp;address(4,column(S34))&amp;":"&amp;address(200,column(S34)))),"")</f>
        <v>-1600</v>
      </c>
      <c r="T35" s="25">
        <f t="shared" si="29"/>
        <v>-5.44</v>
      </c>
      <c r="U35" s="25">
        <f t="shared" si="29"/>
        <v>16730</v>
      </c>
      <c r="V35" s="25">
        <f t="shared" si="29"/>
        <v>729959</v>
      </c>
      <c r="W35" s="19">
        <f t="shared" si="3"/>
        <v>308414.4</v>
      </c>
      <c r="X35" s="25">
        <f t="shared" ref="X35:Z35" si="30">iferror(SUM(indirect("'"&amp;$A35&amp;"'!"&amp;address(4,column(X34))&amp;":"&amp;address(200,column(X34)))),"")</f>
        <v>148000</v>
      </c>
      <c r="Y35" s="25">
        <f t="shared" si="30"/>
        <v>0</v>
      </c>
      <c r="Z35" s="25">
        <f t="shared" si="30"/>
        <v>160414.4</v>
      </c>
      <c r="AA35" s="22">
        <f t="shared" si="4"/>
        <v>1567117.12</v>
      </c>
    </row>
    <row r="36" ht="13.5" customHeight="1">
      <c r="A36" s="24">
        <v>202106.0</v>
      </c>
      <c r="B36" s="19">
        <f t="shared" si="2"/>
        <v>2362601.68</v>
      </c>
      <c r="C36" s="25">
        <f t="shared" ref="C36:L36" si="31">iferror(C35+ SUM(indirect("'"&amp;$A36&amp;"'!"&amp;address(4,column(C35))&amp;":"&amp;address(200,column(C35)))),"")</f>
        <v>867165</v>
      </c>
      <c r="D36" s="25">
        <f t="shared" si="31"/>
        <v>-9970</v>
      </c>
      <c r="E36" s="25">
        <f t="shared" si="31"/>
        <v>315</v>
      </c>
      <c r="F36" s="25">
        <f t="shared" si="31"/>
        <v>3400</v>
      </c>
      <c r="G36" s="25">
        <f t="shared" si="31"/>
        <v>110959</v>
      </c>
      <c r="H36" s="25">
        <f t="shared" si="31"/>
        <v>1157</v>
      </c>
      <c r="I36" s="25">
        <f t="shared" si="31"/>
        <v>299296</v>
      </c>
      <c r="J36" s="25">
        <f t="shared" si="31"/>
        <v>106672</v>
      </c>
      <c r="K36" s="25">
        <f t="shared" si="31"/>
        <v>948103.68</v>
      </c>
      <c r="L36" s="25">
        <f t="shared" si="31"/>
        <v>35504</v>
      </c>
      <c r="M36" s="19">
        <f t="shared" si="1"/>
        <v>104300.18</v>
      </c>
      <c r="N36" s="27">
        <f>'消费总计2021'!I31</f>
        <v>47325.42</v>
      </c>
      <c r="O36" s="27">
        <f>'消费总计2021'!J31</f>
        <v>0</v>
      </c>
      <c r="P36" s="27">
        <f>'消费总计2021'!K31</f>
        <v>3907.5</v>
      </c>
      <c r="Q36" s="27">
        <f>'消费总计2021'!L31</f>
        <v>53067.26</v>
      </c>
      <c r="R36" s="22">
        <f t="shared" si="5"/>
        <v>777911.16</v>
      </c>
      <c r="S36" s="25">
        <f t="shared" ref="S36:V36" si="32">iferror(S35+ SUM(indirect("'"&amp;$A36&amp;"'!"&amp;address(4,column(S35))&amp;":"&amp;address(200,column(S35)))),"")</f>
        <v>-1600</v>
      </c>
      <c r="T36" s="25">
        <f t="shared" si="32"/>
        <v>-6639.84</v>
      </c>
      <c r="U36" s="25">
        <f t="shared" si="32"/>
        <v>56192</v>
      </c>
      <c r="V36" s="25">
        <f t="shared" si="32"/>
        <v>729959</v>
      </c>
      <c r="W36" s="19">
        <f t="shared" si="3"/>
        <v>144179.36</v>
      </c>
      <c r="X36" s="25">
        <f t="shared" ref="X36:Z36" si="33">iferror(SUM(indirect("'"&amp;$A36&amp;"'!"&amp;address(4,column(X35))&amp;":"&amp;address(200,column(X35)))),"")</f>
        <v>0</v>
      </c>
      <c r="Y36" s="25">
        <f t="shared" si="33"/>
        <v>0</v>
      </c>
      <c r="Z36" s="25">
        <f t="shared" si="33"/>
        <v>144179.36</v>
      </c>
      <c r="AA36" s="22">
        <f t="shared" si="4"/>
        <v>1584690.52</v>
      </c>
    </row>
    <row r="37" ht="13.5" customHeight="1">
      <c r="A37" s="24">
        <v>202107.0</v>
      </c>
      <c r="B37" s="19">
        <f t="shared" si="2"/>
        <v>2787520.68</v>
      </c>
      <c r="C37" s="21">
        <v>897114.0</v>
      </c>
      <c r="D37" s="21">
        <v>27800.0</v>
      </c>
      <c r="E37" s="25">
        <f t="shared" ref="E37:H37" si="34">iferror(E36+ SUM(indirect("'"&amp;$A37&amp;"'!"&amp;address(4,column(E36))&amp;":"&amp;address(200,column(E36)))),"")</f>
        <v>315</v>
      </c>
      <c r="F37" s="25">
        <f t="shared" si="34"/>
        <v>3400</v>
      </c>
      <c r="G37" s="25">
        <f t="shared" si="34"/>
        <v>110959</v>
      </c>
      <c r="H37" s="25">
        <f t="shared" si="34"/>
        <v>-523</v>
      </c>
      <c r="I37" s="21">
        <v>651184.0</v>
      </c>
      <c r="J37" s="21">
        <v>113024.0</v>
      </c>
      <c r="K37" s="25">
        <f t="shared" ref="K37:L37" si="35">iferror(K36+ SUM(indirect("'"&amp;$A37&amp;"'!"&amp;address(4,column(K36))&amp;":"&amp;address(200,column(K36)))),"")</f>
        <v>948743.68</v>
      </c>
      <c r="L37" s="25">
        <f t="shared" si="35"/>
        <v>35504</v>
      </c>
      <c r="M37" s="19">
        <f t="shared" si="1"/>
        <v>93032.38</v>
      </c>
      <c r="N37" s="27">
        <f>'消费总计2021'!I36</f>
        <v>52381.38</v>
      </c>
      <c r="O37" s="27">
        <f>'消费总计2021'!J36</f>
        <v>0</v>
      </c>
      <c r="P37" s="27">
        <f>'消费总计2021'!K36</f>
        <v>500</v>
      </c>
      <c r="Q37" s="27">
        <f>'消费总计2021'!L36</f>
        <v>40151</v>
      </c>
      <c r="R37" s="22">
        <f t="shared" si="5"/>
        <v>774146.96</v>
      </c>
      <c r="S37" s="25">
        <f t="shared" ref="S37:V37" si="36">iferror(S36+ SUM(indirect("'"&amp;$A37&amp;"'!"&amp;address(4,column(S36))&amp;":"&amp;address(200,column(S36)))),"")</f>
        <v>-1600</v>
      </c>
      <c r="T37" s="25">
        <f t="shared" si="36"/>
        <v>-19575.04</v>
      </c>
      <c r="U37" s="25">
        <f t="shared" si="36"/>
        <v>65363</v>
      </c>
      <c r="V37" s="25">
        <f t="shared" si="36"/>
        <v>729959</v>
      </c>
      <c r="W37" s="19">
        <f t="shared" si="3"/>
        <v>500218.08</v>
      </c>
      <c r="X37" s="25">
        <f t="shared" ref="X37:Z37" si="37">iferror(SUM(indirect("'"&amp;$A37&amp;"'!"&amp;address(4,column(X36))&amp;":"&amp;address(200,column(X36)))),"")</f>
        <v>148000</v>
      </c>
      <c r="Y37" s="25">
        <f t="shared" si="37"/>
        <v>0</v>
      </c>
      <c r="Z37" s="25">
        <f t="shared" si="37"/>
        <v>352218.08</v>
      </c>
      <c r="AA37" s="22">
        <f t="shared" si="4"/>
        <v>2013373.72</v>
      </c>
    </row>
    <row r="38" ht="13.5" customHeight="1">
      <c r="A38" s="24">
        <v>202108.0</v>
      </c>
      <c r="B38" s="19">
        <f t="shared" si="2"/>
        <v>3089277.8</v>
      </c>
      <c r="C38" s="25">
        <f t="shared" ref="C38:C42" si="42">iferror(C37+ SUM(indirect("'"&amp;$A38&amp;"'!"&amp;address(4,column(C37))&amp;":"&amp;address(200,column(C37)))),"")</f>
        <v>1068585</v>
      </c>
      <c r="D38" s="21">
        <v>3000.0</v>
      </c>
      <c r="E38" s="25">
        <f t="shared" ref="E38:G38" si="38">iferror(E37+ SUM(indirect("'"&amp;$A38&amp;"'!"&amp;address(4,column(E37))&amp;":"&amp;address(200,column(E37)))),"")</f>
        <v>315</v>
      </c>
      <c r="F38" s="25">
        <f t="shared" si="38"/>
        <v>3400</v>
      </c>
      <c r="G38" s="25">
        <f t="shared" si="38"/>
        <v>118449</v>
      </c>
      <c r="H38" s="21">
        <v>3192.0</v>
      </c>
      <c r="I38" s="25">
        <f t="shared" ref="I38:L38" si="39">iferror(I37+ SUM(indirect("'"&amp;$A38&amp;"'!"&amp;address(4,column(I37))&amp;":"&amp;address(200,column(I37)))),"")</f>
        <v>795184</v>
      </c>
      <c r="J38" s="25">
        <f t="shared" si="39"/>
        <v>112105.12</v>
      </c>
      <c r="K38" s="25">
        <f t="shared" si="39"/>
        <v>949543.68</v>
      </c>
      <c r="L38" s="25">
        <f t="shared" si="39"/>
        <v>35504</v>
      </c>
      <c r="M38" s="19">
        <f t="shared" si="1"/>
        <v>112833.7</v>
      </c>
      <c r="N38" s="27">
        <f>'消费总计2021'!I41</f>
        <v>52636.7</v>
      </c>
      <c r="O38" s="27">
        <f>'消费总计2021'!J41</f>
        <v>1600</v>
      </c>
      <c r="P38" s="27">
        <f>'消费总计2021'!K41</f>
        <v>660</v>
      </c>
      <c r="Q38" s="27">
        <f>'消费总计2021'!L41</f>
        <v>57937</v>
      </c>
      <c r="R38" s="22">
        <f t="shared" si="5"/>
        <v>755225.6</v>
      </c>
      <c r="S38" s="25">
        <f t="shared" ref="S38:V38" si="40">iferror(S37+ SUM(indirect("'"&amp;$A38&amp;"'!"&amp;address(4,column(S37))&amp;":"&amp;address(200,column(S37)))),"")</f>
        <v>-1600</v>
      </c>
      <c r="T38" s="25">
        <f t="shared" si="40"/>
        <v>-18082.4</v>
      </c>
      <c r="U38" s="25">
        <f t="shared" si="40"/>
        <v>44949</v>
      </c>
      <c r="V38" s="25">
        <f t="shared" si="40"/>
        <v>729959</v>
      </c>
      <c r="W38" s="19">
        <f t="shared" si="3"/>
        <v>447672.88</v>
      </c>
      <c r="X38" s="25">
        <f t="shared" ref="X38:Z38" si="41">iferror(SUM(indirect("'"&amp;$A38&amp;"'!"&amp;address(4,column(X37))&amp;":"&amp;address(200,column(X37)))),"")</f>
        <v>296000</v>
      </c>
      <c r="Y38" s="25">
        <f t="shared" si="41"/>
        <v>0</v>
      </c>
      <c r="Z38" s="25">
        <f t="shared" si="41"/>
        <v>151672.88</v>
      </c>
      <c r="AA38" s="22">
        <f t="shared" si="4"/>
        <v>2334052.2</v>
      </c>
    </row>
    <row r="39" ht="13.5" customHeight="1">
      <c r="A39" s="24">
        <v>202109.0</v>
      </c>
      <c r="B39" s="19">
        <f t="shared" si="2"/>
        <v>3301274.96</v>
      </c>
      <c r="C39" s="25">
        <f t="shared" si="42"/>
        <v>1077705</v>
      </c>
      <c r="D39" s="25">
        <f t="shared" ref="D39:L39" si="43">iferror(D38+ SUM(indirect("'"&amp;$A39&amp;"'!"&amp;address(4,column(D38))&amp;":"&amp;address(200,column(D38)))),"")</f>
        <v>38286</v>
      </c>
      <c r="E39" s="25">
        <f t="shared" si="43"/>
        <v>315</v>
      </c>
      <c r="F39" s="25">
        <f t="shared" si="43"/>
        <v>1619</v>
      </c>
      <c r="G39" s="25">
        <f t="shared" si="43"/>
        <v>118449</v>
      </c>
      <c r="H39" s="25">
        <f t="shared" si="43"/>
        <v>1492</v>
      </c>
      <c r="I39" s="25">
        <f t="shared" si="43"/>
        <v>967872</v>
      </c>
      <c r="J39" s="25">
        <f t="shared" si="43"/>
        <v>109849.28</v>
      </c>
      <c r="K39" s="25">
        <f t="shared" si="43"/>
        <v>950183.68</v>
      </c>
      <c r="L39" s="25">
        <f t="shared" si="43"/>
        <v>35504</v>
      </c>
      <c r="M39" s="19">
        <f t="shared" si="1"/>
        <v>183748</v>
      </c>
      <c r="N39" s="27">
        <f>'消费总计2021'!I46</f>
        <v>40348.5</v>
      </c>
      <c r="O39" s="27">
        <f>'消费总计2021'!J46</f>
        <v>1700</v>
      </c>
      <c r="P39" s="27">
        <f>'消费总计2021'!K46</f>
        <v>86168</v>
      </c>
      <c r="Q39" s="27">
        <f>'消费总计2021'!L46</f>
        <v>55531.5</v>
      </c>
      <c r="R39" s="22">
        <f t="shared" si="5"/>
        <v>921096.2</v>
      </c>
      <c r="S39" s="25">
        <f t="shared" ref="S39:V39" si="44">iferror(S38+ SUM(indirect("'"&amp;$A39&amp;"'!"&amp;address(4,column(S38))&amp;":"&amp;address(200,column(S38)))),"")</f>
        <v>-1600</v>
      </c>
      <c r="T39" s="25">
        <f t="shared" si="44"/>
        <v>-19876.8</v>
      </c>
      <c r="U39" s="25">
        <f t="shared" si="44"/>
        <v>212614</v>
      </c>
      <c r="V39" s="25">
        <f t="shared" si="44"/>
        <v>729959</v>
      </c>
      <c r="W39" s="19">
        <f t="shared" si="3"/>
        <v>320866.56</v>
      </c>
      <c r="X39" s="25">
        <f t="shared" ref="X39:Z39" si="45">iferror(SUM(indirect("'"&amp;$A39&amp;"'!"&amp;address(4,column(X38))&amp;":"&amp;address(200,column(X38)))),"")</f>
        <v>148000</v>
      </c>
      <c r="Y39" s="25">
        <f t="shared" si="45"/>
        <v>0</v>
      </c>
      <c r="Z39" s="25">
        <f t="shared" si="45"/>
        <v>172866.56</v>
      </c>
      <c r="AA39" s="22">
        <f t="shared" si="4"/>
        <v>2380178.76</v>
      </c>
    </row>
    <row r="40" ht="13.5" customHeight="1">
      <c r="A40" s="24">
        <v>202110.0</v>
      </c>
      <c r="B40" s="19">
        <f t="shared" si="2"/>
        <v>3385513.08</v>
      </c>
      <c r="C40" s="25">
        <f t="shared" si="42"/>
        <v>1047705</v>
      </c>
      <c r="D40" s="25">
        <f t="shared" ref="D40:L40" si="46">iferror(D39+ SUM(indirect("'"&amp;$A40&amp;"'!"&amp;address(4,column(D39))&amp;":"&amp;address(200,column(D39)))),"")</f>
        <v>21639</v>
      </c>
      <c r="E40" s="25">
        <f t="shared" si="46"/>
        <v>315</v>
      </c>
      <c r="F40" s="25">
        <f t="shared" si="46"/>
        <v>3019</v>
      </c>
      <c r="G40" s="25">
        <f t="shared" si="46"/>
        <v>118449</v>
      </c>
      <c r="H40" s="25">
        <f t="shared" si="46"/>
        <v>-208</v>
      </c>
      <c r="I40" s="25">
        <f t="shared" si="46"/>
        <v>1111872</v>
      </c>
      <c r="J40" s="25">
        <f t="shared" si="46"/>
        <v>96394.4</v>
      </c>
      <c r="K40" s="25">
        <f t="shared" si="46"/>
        <v>950823.68</v>
      </c>
      <c r="L40" s="25">
        <f t="shared" si="46"/>
        <v>35504</v>
      </c>
      <c r="M40" s="19">
        <f t="shared" si="1"/>
        <v>127817.22</v>
      </c>
      <c r="N40" s="27">
        <f>'消费总计2021'!I51</f>
        <v>43644.94</v>
      </c>
      <c r="O40" s="27">
        <f>'消费总计2021'!J51</f>
        <v>4000</v>
      </c>
      <c r="P40" s="27">
        <f>'消费总计2021'!K51</f>
        <v>8601.5</v>
      </c>
      <c r="Q40" s="27">
        <f>'消费总计2021'!L51</f>
        <v>71570.78</v>
      </c>
      <c r="R40" s="22">
        <f t="shared" si="5"/>
        <v>1023439.08</v>
      </c>
      <c r="S40" s="25">
        <f t="shared" ref="S40:V40" si="47">iferror(S39+ SUM(indirect("'"&amp;$A40&amp;"'!"&amp;address(4,column(S39))&amp;":"&amp;address(200,column(S39)))),"")</f>
        <v>-1600</v>
      </c>
      <c r="T40" s="25">
        <f t="shared" si="47"/>
        <v>-17025.92</v>
      </c>
      <c r="U40" s="25">
        <f t="shared" si="47"/>
        <v>312106</v>
      </c>
      <c r="V40" s="25">
        <f t="shared" si="47"/>
        <v>729959</v>
      </c>
      <c r="W40" s="19">
        <f t="shared" si="3"/>
        <v>147171.68</v>
      </c>
      <c r="X40" s="25">
        <f t="shared" ref="X40:Z40" si="48">iferror(SUM(indirect("'"&amp;$A40&amp;"'!"&amp;address(4,column(X39))&amp;":"&amp;address(200,column(X39)))),"")</f>
        <v>0</v>
      </c>
      <c r="Y40" s="25">
        <f t="shared" si="48"/>
        <v>0</v>
      </c>
      <c r="Z40" s="25">
        <f t="shared" si="48"/>
        <v>147171.68</v>
      </c>
      <c r="AA40" s="22">
        <f t="shared" si="4"/>
        <v>2362074</v>
      </c>
    </row>
    <row r="41" ht="13.5" customHeight="1">
      <c r="A41" s="24">
        <v>202111.0</v>
      </c>
      <c r="B41" s="19">
        <f t="shared" si="2"/>
        <v>0</v>
      </c>
      <c r="C41" s="25" t="str">
        <f t="shared" si="42"/>
        <v/>
      </c>
      <c r="D41" s="25" t="str">
        <f t="shared" ref="D41:L41" si="49">iferror(D40+ SUM(indirect("'"&amp;$A41&amp;"'!"&amp;address(4,column(D40))&amp;":"&amp;address(200,column(D40)))),"")</f>
        <v/>
      </c>
      <c r="E41" s="25" t="str">
        <f t="shared" si="49"/>
        <v/>
      </c>
      <c r="F41" s="25" t="str">
        <f t="shared" si="49"/>
        <v/>
      </c>
      <c r="G41" s="25" t="str">
        <f t="shared" si="49"/>
        <v/>
      </c>
      <c r="H41" s="25" t="str">
        <f t="shared" si="49"/>
        <v/>
      </c>
      <c r="I41" s="25" t="str">
        <f t="shared" si="49"/>
        <v/>
      </c>
      <c r="J41" s="25" t="str">
        <f t="shared" si="49"/>
        <v/>
      </c>
      <c r="K41" s="25" t="str">
        <f t="shared" si="49"/>
        <v/>
      </c>
      <c r="L41" s="25" t="str">
        <f t="shared" si="49"/>
        <v/>
      </c>
      <c r="M41" s="19">
        <f t="shared" si="1"/>
        <v>0</v>
      </c>
      <c r="N41" s="27">
        <f>'消费总计2021'!I56</f>
        <v>0</v>
      </c>
      <c r="O41" s="27">
        <f>'消费总计2021'!J56</f>
        <v>0</v>
      </c>
      <c r="P41" s="27">
        <f>'消费总计2021'!K56</f>
        <v>0</v>
      </c>
      <c r="Q41" s="27">
        <f>'消费总计2021'!L56</f>
        <v>0</v>
      </c>
      <c r="R41" s="22">
        <f t="shared" si="5"/>
        <v>0</v>
      </c>
      <c r="S41" s="25" t="str">
        <f t="shared" ref="S41:V41" si="50">iferror(S40+ SUM(indirect("'"&amp;$A41&amp;"'!"&amp;address(4,column(S40))&amp;":"&amp;address(200,column(S40)))),"")</f>
        <v/>
      </c>
      <c r="T41" s="25" t="str">
        <f t="shared" si="50"/>
        <v/>
      </c>
      <c r="U41" s="25" t="str">
        <f t="shared" si="50"/>
        <v/>
      </c>
      <c r="V41" s="25" t="str">
        <f t="shared" si="50"/>
        <v/>
      </c>
      <c r="W41" s="19">
        <f t="shared" si="3"/>
        <v>0</v>
      </c>
      <c r="X41" s="25" t="str">
        <f t="shared" ref="X41:Z41" si="51">iferror(SUM(indirect("'"&amp;$A41&amp;"'!"&amp;address(4,column(X40))&amp;":"&amp;address(200,column(X40)))),"")</f>
        <v/>
      </c>
      <c r="Y41" s="25" t="str">
        <f t="shared" si="51"/>
        <v/>
      </c>
      <c r="Z41" s="25" t="str">
        <f t="shared" si="51"/>
        <v/>
      </c>
      <c r="AA41" s="22">
        <f t="shared" si="4"/>
        <v>0</v>
      </c>
    </row>
    <row r="42" ht="13.5" customHeight="1">
      <c r="A42" s="24">
        <v>202112.0</v>
      </c>
      <c r="B42" s="19">
        <f t="shared" si="2"/>
        <v>0</v>
      </c>
      <c r="C42" s="25" t="str">
        <f t="shared" si="42"/>
        <v/>
      </c>
      <c r="D42" s="25" t="str">
        <f t="shared" ref="D42:L42" si="52">iferror(D41+ SUM(indirect("'"&amp;$A42&amp;"'!"&amp;address(4,column(D41))&amp;":"&amp;address(200,column(D41)))),"")</f>
        <v/>
      </c>
      <c r="E42" s="25" t="str">
        <f t="shared" si="52"/>
        <v/>
      </c>
      <c r="F42" s="25" t="str">
        <f t="shared" si="52"/>
        <v/>
      </c>
      <c r="G42" s="25" t="str">
        <f t="shared" si="52"/>
        <v/>
      </c>
      <c r="H42" s="25" t="str">
        <f t="shared" si="52"/>
        <v/>
      </c>
      <c r="I42" s="25" t="str">
        <f t="shared" si="52"/>
        <v/>
      </c>
      <c r="J42" s="25" t="str">
        <f t="shared" si="52"/>
        <v/>
      </c>
      <c r="K42" s="25" t="str">
        <f t="shared" si="52"/>
        <v/>
      </c>
      <c r="L42" s="25" t="str">
        <f t="shared" si="52"/>
        <v/>
      </c>
      <c r="M42" s="19">
        <f t="shared" si="1"/>
        <v>0</v>
      </c>
      <c r="N42" s="27">
        <f>'消费总计2021'!I61</f>
        <v>0</v>
      </c>
      <c r="O42" s="27">
        <f>'消费总计2021'!J61</f>
        <v>0</v>
      </c>
      <c r="P42" s="27">
        <f>'消费总计2021'!K61</f>
        <v>0</v>
      </c>
      <c r="Q42" s="27">
        <f>'消费总计2021'!L61</f>
        <v>0</v>
      </c>
      <c r="R42" s="22">
        <f t="shared" si="5"/>
        <v>0</v>
      </c>
      <c r="S42" s="25" t="str">
        <f t="shared" ref="S42:V42" si="53">iferror(S41+ SUM(indirect("'"&amp;$A42&amp;"'!"&amp;address(4,column(S41))&amp;":"&amp;address(200,column(S41)))),"")</f>
        <v/>
      </c>
      <c r="T42" s="25" t="str">
        <f t="shared" si="53"/>
        <v/>
      </c>
      <c r="U42" s="25" t="str">
        <f t="shared" si="53"/>
        <v/>
      </c>
      <c r="V42" s="25" t="str">
        <f t="shared" si="53"/>
        <v/>
      </c>
      <c r="W42" s="19">
        <f t="shared" si="3"/>
        <v>0</v>
      </c>
      <c r="X42" s="25" t="str">
        <f t="shared" ref="X42:Z42" si="54">iferror(SUM(indirect("'"&amp;$A42&amp;"'!"&amp;address(4,column(X41))&amp;":"&amp;address(200,column(X41)))),"")</f>
        <v/>
      </c>
      <c r="Y42" s="25" t="str">
        <f t="shared" si="54"/>
        <v/>
      </c>
      <c r="Z42" s="25" t="str">
        <f t="shared" si="54"/>
        <v/>
      </c>
      <c r="AA42" s="22">
        <f t="shared" si="4"/>
        <v>0</v>
      </c>
    </row>
    <row r="43" ht="13.5" customHeight="1">
      <c r="A43" s="28"/>
      <c r="B43" s="29"/>
      <c r="C43" s="30"/>
      <c r="D43" s="30"/>
      <c r="E43" s="31"/>
      <c r="F43" s="30"/>
      <c r="G43" s="30"/>
      <c r="H43" s="30"/>
      <c r="I43" s="30"/>
      <c r="J43" s="31"/>
      <c r="K43" s="31"/>
      <c r="L43" s="31"/>
      <c r="M43" s="32"/>
      <c r="N43" s="33"/>
      <c r="O43" s="33"/>
      <c r="P43" s="31"/>
      <c r="Q43" s="34"/>
      <c r="R43" s="35"/>
      <c r="S43" s="31"/>
      <c r="T43" s="30"/>
      <c r="U43" s="31"/>
      <c r="V43" s="31"/>
      <c r="W43" s="30"/>
      <c r="X43" s="31"/>
      <c r="Y43" s="31"/>
      <c r="Z43" s="29"/>
      <c r="AA43" s="36"/>
    </row>
    <row r="44" ht="13.5" customHeight="1">
      <c r="A44" s="28"/>
      <c r="B44" s="29"/>
      <c r="C44" s="31"/>
      <c r="D44" s="31"/>
      <c r="E44" s="31"/>
      <c r="F44" s="31"/>
      <c r="G44" s="31"/>
      <c r="H44" s="31"/>
      <c r="I44" s="31"/>
      <c r="J44" s="31"/>
      <c r="K44" s="31"/>
      <c r="L44" s="30"/>
      <c r="M44" s="32"/>
      <c r="N44" s="32"/>
      <c r="O44" s="32"/>
      <c r="P44" s="30"/>
      <c r="Q44" s="35"/>
      <c r="S44" s="35"/>
      <c r="T44" s="30"/>
      <c r="U44" s="31"/>
      <c r="V44" s="30"/>
      <c r="X44" s="30"/>
      <c r="Y44" s="30"/>
      <c r="Z44" s="30"/>
      <c r="AA44" s="30"/>
    </row>
    <row r="45" ht="13.5" customHeight="1">
      <c r="A45" s="28"/>
      <c r="B45" s="29"/>
      <c r="C45" s="31"/>
      <c r="D45" s="31"/>
      <c r="E45" s="30"/>
      <c r="F45" s="30"/>
      <c r="G45" s="30"/>
      <c r="H45" s="30"/>
      <c r="I45" s="30"/>
      <c r="J45" s="31"/>
      <c r="K45" s="30"/>
      <c r="L45" s="30"/>
      <c r="M45" s="32"/>
      <c r="N45" s="32"/>
      <c r="O45" s="32"/>
      <c r="P45" s="30"/>
      <c r="Q45" s="35"/>
      <c r="S45" s="35"/>
      <c r="T45" s="30"/>
      <c r="U45" s="31"/>
      <c r="V45" s="30"/>
      <c r="X45" s="30"/>
      <c r="Y45" s="30"/>
      <c r="Z45" s="30"/>
      <c r="AA45" s="30"/>
    </row>
    <row r="46" ht="13.5" customHeight="1">
      <c r="A46" s="28"/>
      <c r="B46" s="36"/>
      <c r="C46" s="30"/>
      <c r="D46" s="31"/>
      <c r="E46" s="31"/>
      <c r="F46" s="30"/>
      <c r="G46" s="30"/>
      <c r="H46" s="30"/>
      <c r="I46" s="30"/>
      <c r="J46" s="31"/>
      <c r="K46" s="31"/>
      <c r="L46" s="31"/>
      <c r="M46" s="33"/>
      <c r="N46" s="33"/>
      <c r="O46" s="33"/>
      <c r="P46" s="31"/>
      <c r="Q46" s="34"/>
      <c r="R46" s="37"/>
      <c r="S46" s="30"/>
      <c r="T46" s="31"/>
      <c r="U46" s="30"/>
      <c r="V46" s="31"/>
      <c r="W46" s="31"/>
      <c r="X46" s="31"/>
      <c r="Y46" s="31"/>
      <c r="Z46" s="36"/>
      <c r="AA46" s="36"/>
    </row>
    <row r="47" ht="13.5" customHeight="1">
      <c r="A47" s="28"/>
      <c r="B47" s="36"/>
      <c r="C47" s="36"/>
      <c r="D47" s="36"/>
      <c r="E47" s="36"/>
      <c r="F47" s="36"/>
      <c r="G47" s="36"/>
      <c r="H47" s="36"/>
      <c r="I47" s="36"/>
      <c r="J47" s="36"/>
      <c r="K47" s="36"/>
      <c r="L47" s="36"/>
      <c r="M47" s="36"/>
      <c r="N47" s="36"/>
      <c r="O47" s="36"/>
      <c r="P47" s="38"/>
      <c r="Q47" s="36"/>
      <c r="R47" s="36"/>
      <c r="S47" s="36"/>
      <c r="T47" s="36"/>
      <c r="U47" s="36"/>
      <c r="V47" s="36"/>
      <c r="W47" s="36"/>
      <c r="X47" s="36"/>
      <c r="Y47" s="36"/>
      <c r="Z47" s="29"/>
      <c r="AA47" s="36"/>
    </row>
    <row r="48" ht="13.5" customHeight="1">
      <c r="A48" s="28"/>
      <c r="B48" s="36"/>
      <c r="C48" s="36"/>
      <c r="D48" s="36"/>
      <c r="E48" s="36"/>
      <c r="F48" s="36"/>
      <c r="G48" s="36"/>
      <c r="H48" s="36"/>
      <c r="I48" s="36"/>
      <c r="J48" s="36"/>
      <c r="K48" s="36"/>
      <c r="L48" s="36"/>
      <c r="M48" s="36"/>
      <c r="N48" s="39"/>
      <c r="O48" s="36"/>
      <c r="P48" s="31"/>
      <c r="Q48" s="36"/>
      <c r="R48" s="36"/>
      <c r="S48" s="36"/>
      <c r="T48" s="36"/>
      <c r="U48" s="36"/>
      <c r="V48" s="36"/>
      <c r="W48" s="36"/>
      <c r="X48" s="36"/>
      <c r="Y48" s="36"/>
      <c r="Z48" s="30"/>
      <c r="AA48" s="36"/>
    </row>
    <row r="49" ht="13.5" customHeight="1">
      <c r="A49" s="28"/>
      <c r="B49" s="36"/>
      <c r="C49" s="36"/>
      <c r="D49" s="36"/>
      <c r="E49" s="36"/>
      <c r="F49" s="36"/>
      <c r="G49" s="36"/>
      <c r="H49" s="36"/>
      <c r="I49" s="36"/>
      <c r="J49" s="36"/>
      <c r="K49" s="36"/>
      <c r="L49" s="36"/>
      <c r="M49" s="36"/>
      <c r="N49" s="36"/>
      <c r="O49" s="36"/>
      <c r="P49" s="36"/>
      <c r="Q49" s="36"/>
      <c r="R49" s="36"/>
      <c r="S49" s="36"/>
      <c r="T49" s="36"/>
      <c r="U49" s="36"/>
      <c r="V49" s="36"/>
      <c r="W49" s="36"/>
      <c r="X49" s="36"/>
      <c r="Y49" s="36"/>
      <c r="Z49" s="29"/>
      <c r="AA49" s="36"/>
    </row>
    <row r="50" ht="13.5" customHeight="1">
      <c r="A50" s="28"/>
      <c r="B50" s="36"/>
      <c r="C50" s="36"/>
      <c r="D50" s="36"/>
      <c r="E50" s="36"/>
      <c r="F50" s="36"/>
      <c r="G50" s="36"/>
      <c r="H50" s="36"/>
      <c r="I50" s="36"/>
      <c r="J50" s="36"/>
      <c r="K50" s="36"/>
      <c r="L50" s="36"/>
      <c r="M50" s="36"/>
      <c r="N50" s="36"/>
      <c r="O50" s="36"/>
      <c r="P50" s="36"/>
      <c r="Q50" s="36"/>
      <c r="R50" s="36"/>
      <c r="S50" s="36"/>
      <c r="T50" s="36"/>
      <c r="U50" s="36"/>
      <c r="V50" s="36"/>
      <c r="W50" s="36"/>
      <c r="X50" s="36"/>
      <c r="Y50" s="36"/>
      <c r="Z50" s="29"/>
      <c r="AA50" s="36"/>
    </row>
    <row r="51" ht="13.5" customHeight="1">
      <c r="A51" s="28"/>
      <c r="B51" s="36"/>
      <c r="C51" s="36"/>
      <c r="D51" s="36"/>
      <c r="E51" s="36"/>
      <c r="F51" s="36"/>
      <c r="G51" s="36"/>
      <c r="H51" s="36"/>
      <c r="I51" s="36"/>
      <c r="J51" s="36"/>
      <c r="K51" s="36"/>
      <c r="L51" s="36"/>
      <c r="M51" s="36"/>
      <c r="N51" s="36"/>
      <c r="O51" s="36"/>
      <c r="P51" s="29"/>
      <c r="Q51" s="36"/>
      <c r="R51" s="36"/>
      <c r="S51" s="36"/>
      <c r="T51" s="36"/>
      <c r="U51" s="36"/>
      <c r="V51" s="36"/>
      <c r="W51" s="36"/>
      <c r="X51" s="36"/>
      <c r="Y51" s="36"/>
      <c r="Z51" s="29"/>
      <c r="AA51" s="36"/>
    </row>
    <row r="52" ht="13.5" customHeight="1">
      <c r="A52" s="28"/>
      <c r="B52" s="36"/>
      <c r="C52" s="36"/>
      <c r="D52" s="36"/>
      <c r="E52" s="36"/>
      <c r="F52" s="36"/>
      <c r="G52" s="36"/>
      <c r="H52" s="36"/>
      <c r="I52" s="36"/>
      <c r="J52" s="36"/>
      <c r="K52" s="36"/>
      <c r="L52" s="36"/>
      <c r="M52" s="36"/>
      <c r="N52" s="36"/>
      <c r="O52" s="36"/>
      <c r="P52" s="36"/>
      <c r="Q52" s="36"/>
      <c r="R52" s="36"/>
      <c r="S52" s="36"/>
      <c r="T52" s="36"/>
      <c r="U52" s="36"/>
      <c r="V52" s="36"/>
      <c r="W52" s="36"/>
      <c r="X52" s="36"/>
      <c r="Y52" s="36"/>
      <c r="Z52" s="29"/>
      <c r="AA52" s="36"/>
    </row>
    <row r="53" ht="13.5" customHeight="1">
      <c r="A53" s="28"/>
      <c r="B53" s="36"/>
      <c r="C53" s="36"/>
      <c r="D53" s="36"/>
      <c r="E53" s="36"/>
      <c r="F53" s="36"/>
      <c r="G53" s="36"/>
      <c r="H53" s="36"/>
      <c r="I53" s="36"/>
      <c r="J53" s="36"/>
      <c r="K53" s="36"/>
      <c r="L53" s="36"/>
      <c r="M53" s="36"/>
      <c r="N53" s="36"/>
      <c r="O53" s="36"/>
      <c r="P53" s="36"/>
      <c r="Q53" s="36"/>
      <c r="R53" s="36"/>
      <c r="S53" s="36"/>
      <c r="T53" s="36"/>
      <c r="U53" s="36"/>
      <c r="V53" s="36"/>
      <c r="W53" s="36"/>
      <c r="X53" s="36"/>
      <c r="Y53" s="36"/>
      <c r="Z53" s="29"/>
      <c r="AA53" s="36"/>
    </row>
    <row r="54" ht="13.5" customHeight="1">
      <c r="A54" s="28"/>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row>
    <row r="55" ht="13.5" customHeight="1">
      <c r="A55" s="28"/>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row>
    <row r="56" ht="13.5" customHeight="1">
      <c r="A56" s="28"/>
      <c r="B56" s="36"/>
      <c r="C56" s="36"/>
      <c r="D56" s="36"/>
      <c r="E56" s="36"/>
      <c r="F56" s="36"/>
      <c r="G56" s="36"/>
      <c r="H56" s="36"/>
      <c r="I56" s="36"/>
      <c r="J56" s="36"/>
      <c r="K56" s="36"/>
      <c r="L56" s="36"/>
      <c r="M56" s="36"/>
      <c r="N56" s="36"/>
      <c r="O56" s="36"/>
      <c r="P56" s="36"/>
      <c r="Q56" s="36"/>
      <c r="R56" s="36"/>
      <c r="S56" s="36"/>
      <c r="T56" s="36"/>
      <c r="U56" s="36"/>
      <c r="V56" s="36"/>
      <c r="W56" s="36"/>
      <c r="X56" s="36"/>
      <c r="Y56" s="36"/>
      <c r="Z56" s="29"/>
      <c r="AA56" s="36"/>
    </row>
    <row r="57" ht="13.5" customHeight="1">
      <c r="A57" s="28"/>
      <c r="B57" s="36"/>
      <c r="C57" s="36"/>
      <c r="D57" s="36"/>
      <c r="E57" s="36"/>
      <c r="F57" s="36"/>
      <c r="G57" s="36"/>
      <c r="H57" s="36"/>
      <c r="I57" s="36"/>
      <c r="J57" s="36"/>
      <c r="K57" s="36"/>
      <c r="L57" s="36"/>
      <c r="M57" s="36"/>
      <c r="N57" s="36"/>
      <c r="O57" s="36"/>
      <c r="P57" s="36"/>
      <c r="Q57" s="36"/>
      <c r="R57" s="36"/>
      <c r="S57" s="36"/>
      <c r="T57" s="36"/>
      <c r="U57" s="36"/>
      <c r="V57" s="36"/>
      <c r="W57" s="36"/>
      <c r="X57" s="36"/>
      <c r="Y57" s="36"/>
      <c r="Z57" s="40"/>
      <c r="AA57" s="36"/>
    </row>
    <row r="58" ht="13.5" customHeight="1">
      <c r="A58" s="28"/>
      <c r="B58" s="36"/>
      <c r="C58" s="36"/>
      <c r="D58" s="36"/>
      <c r="E58" s="36"/>
      <c r="F58" s="36"/>
      <c r="G58" s="36"/>
      <c r="H58" s="36"/>
      <c r="I58" s="36"/>
      <c r="J58" s="36"/>
      <c r="K58" s="36"/>
      <c r="L58" s="36"/>
      <c r="M58" s="36"/>
      <c r="N58" s="36"/>
      <c r="O58" s="36"/>
      <c r="P58" s="36"/>
      <c r="Q58" s="36"/>
      <c r="R58" s="36"/>
      <c r="S58" s="36"/>
      <c r="T58" s="36"/>
      <c r="U58" s="36"/>
      <c r="V58" s="36"/>
      <c r="W58" s="36"/>
      <c r="X58" s="36"/>
      <c r="Y58" s="36"/>
      <c r="Z58" s="29"/>
      <c r="AA58" s="36"/>
    </row>
    <row r="59" ht="13.5" customHeight="1">
      <c r="A59" s="28"/>
      <c r="B59" s="36"/>
      <c r="C59" s="36"/>
      <c r="D59" s="36"/>
      <c r="E59" s="36"/>
      <c r="F59" s="36"/>
      <c r="G59" s="36"/>
      <c r="H59" s="36"/>
      <c r="I59" s="36"/>
      <c r="J59" s="36"/>
      <c r="K59" s="36"/>
      <c r="L59" s="36"/>
      <c r="M59" s="36"/>
      <c r="N59" s="36"/>
      <c r="O59" s="36"/>
      <c r="P59" s="36"/>
      <c r="Q59" s="36"/>
      <c r="R59" s="36"/>
      <c r="S59" s="36"/>
      <c r="T59" s="36"/>
      <c r="U59" s="36"/>
      <c r="V59" s="36"/>
      <c r="W59" s="36"/>
      <c r="X59" s="36"/>
      <c r="Y59" s="36"/>
      <c r="Z59" s="29"/>
      <c r="AA59" s="36"/>
    </row>
    <row r="60" ht="13.5" customHeight="1">
      <c r="A60" s="28"/>
      <c r="B60" s="36"/>
      <c r="C60" s="36"/>
      <c r="D60" s="36"/>
      <c r="E60" s="36"/>
      <c r="F60" s="36"/>
      <c r="G60" s="36"/>
      <c r="H60" s="36"/>
      <c r="I60" s="36"/>
      <c r="J60" s="36"/>
      <c r="K60" s="36"/>
      <c r="L60" s="36"/>
      <c r="M60" s="36"/>
      <c r="N60" s="36"/>
      <c r="O60" s="36"/>
      <c r="P60" s="36"/>
      <c r="Q60" s="36"/>
      <c r="R60" s="36"/>
      <c r="S60" s="36"/>
      <c r="T60" s="36"/>
      <c r="U60" s="36"/>
      <c r="V60" s="36"/>
      <c r="W60" s="36"/>
      <c r="X60" s="36"/>
      <c r="Y60" s="36"/>
      <c r="Z60" s="29"/>
      <c r="AA60" s="36"/>
    </row>
    <row r="61" ht="13.5" customHeight="1">
      <c r="A61" s="28"/>
      <c r="B61" s="36"/>
      <c r="C61" s="36"/>
      <c r="D61" s="36"/>
      <c r="E61" s="36"/>
      <c r="F61" s="36"/>
      <c r="G61" s="36"/>
      <c r="H61" s="36"/>
      <c r="I61" s="36"/>
      <c r="J61" s="36"/>
      <c r="K61" s="36"/>
      <c r="L61" s="36"/>
      <c r="M61" s="36"/>
      <c r="N61" s="36"/>
      <c r="O61" s="36"/>
      <c r="P61" s="36"/>
      <c r="Q61" s="36"/>
      <c r="R61" s="36"/>
      <c r="S61" s="36"/>
      <c r="T61" s="36"/>
      <c r="U61" s="36"/>
      <c r="V61" s="36"/>
      <c r="W61" s="36"/>
      <c r="X61" s="36"/>
      <c r="Y61" s="36"/>
      <c r="Z61" s="29"/>
      <c r="AA61" s="36"/>
    </row>
    <row r="62" ht="13.5" customHeight="1">
      <c r="A62" s="28"/>
      <c r="B62" s="36"/>
      <c r="C62" s="36"/>
      <c r="D62" s="36"/>
      <c r="E62" s="36"/>
      <c r="F62" s="36"/>
      <c r="G62" s="36"/>
      <c r="H62" s="36"/>
      <c r="I62" s="36"/>
      <c r="J62" s="36"/>
      <c r="K62" s="36"/>
      <c r="L62" s="36"/>
      <c r="M62" s="36"/>
      <c r="N62" s="36"/>
      <c r="O62" s="36"/>
      <c r="P62" s="36"/>
      <c r="Q62" s="36"/>
      <c r="R62" s="36"/>
      <c r="S62" s="36"/>
      <c r="T62" s="36"/>
      <c r="U62" s="36"/>
      <c r="V62" s="36"/>
      <c r="W62" s="36"/>
      <c r="X62" s="36"/>
      <c r="Y62" s="36"/>
      <c r="Z62" s="29"/>
      <c r="AA62" s="36"/>
    </row>
    <row r="63" ht="13.5" customHeight="1">
      <c r="A63" s="41"/>
      <c r="B63" s="36"/>
      <c r="C63" s="36"/>
      <c r="D63" s="36"/>
      <c r="E63" s="36"/>
      <c r="F63" s="36"/>
      <c r="G63" s="36"/>
      <c r="H63" s="36"/>
      <c r="I63" s="36"/>
      <c r="J63" s="36"/>
      <c r="K63" s="36"/>
      <c r="L63" s="36"/>
      <c r="M63" s="36"/>
      <c r="N63" s="36"/>
      <c r="O63" s="36"/>
      <c r="P63" s="36"/>
      <c r="Q63" s="36"/>
      <c r="R63" s="36"/>
      <c r="S63" s="36"/>
      <c r="T63" s="36"/>
      <c r="U63" s="36"/>
      <c r="V63" s="36"/>
      <c r="W63" s="36"/>
      <c r="X63" s="36"/>
      <c r="Y63" s="36"/>
      <c r="Z63" s="29"/>
      <c r="AA63" s="36"/>
    </row>
    <row r="64" ht="13.5" customHeight="1">
      <c r="A64" s="10"/>
      <c r="B64" s="11"/>
      <c r="C64" s="12"/>
      <c r="D64" s="11"/>
      <c r="E64" s="11"/>
      <c r="F64" s="11"/>
      <c r="G64" s="11"/>
      <c r="H64" s="11"/>
      <c r="I64" s="11"/>
      <c r="J64" s="11"/>
      <c r="K64" s="11"/>
      <c r="L64" s="11"/>
      <c r="M64" s="13"/>
      <c r="N64" s="15"/>
      <c r="O64" s="15"/>
      <c r="P64" s="11"/>
      <c r="Q64" s="11"/>
      <c r="S64" s="14"/>
      <c r="T64" s="11"/>
      <c r="U64" s="11"/>
      <c r="V64" s="11"/>
      <c r="W64" s="11"/>
      <c r="X64" s="14"/>
      <c r="Y64" s="11"/>
      <c r="Z64" s="11"/>
      <c r="AA64" s="36"/>
    </row>
    <row r="65" ht="13.5" customHeight="1">
      <c r="A65" s="16"/>
      <c r="B65" s="13"/>
      <c r="C65" s="11"/>
      <c r="D65" s="11"/>
      <c r="E65" s="13"/>
      <c r="F65" s="13"/>
      <c r="G65" s="13"/>
      <c r="H65" s="13"/>
      <c r="I65" s="13"/>
      <c r="J65" s="11"/>
      <c r="K65" s="11"/>
      <c r="L65" s="11"/>
      <c r="M65" s="11"/>
      <c r="N65" s="13"/>
      <c r="O65" s="13"/>
      <c r="P65" s="42"/>
      <c r="Q65" s="43"/>
      <c r="R65" s="44"/>
      <c r="S65" s="43"/>
      <c r="T65" s="43"/>
      <c r="U65" s="42"/>
      <c r="V65" s="42"/>
      <c r="W65" s="43"/>
      <c r="X65" s="43"/>
      <c r="Y65" s="43"/>
      <c r="Z65" s="43"/>
      <c r="AA65" s="36"/>
    </row>
    <row r="66" ht="13.5" customHeight="1">
      <c r="A66" s="28"/>
      <c r="B66" s="36"/>
      <c r="C66" s="36"/>
      <c r="D66" s="36"/>
      <c r="E66" s="36"/>
      <c r="F66" s="36"/>
      <c r="G66" s="36"/>
      <c r="H66" s="36"/>
      <c r="I66" s="36"/>
      <c r="J66" s="36"/>
      <c r="K66" s="36"/>
      <c r="L66" s="36"/>
      <c r="M66" s="29"/>
      <c r="N66" s="36"/>
      <c r="O66" s="36"/>
      <c r="P66" s="36"/>
      <c r="Q66" s="36"/>
      <c r="R66" s="36"/>
      <c r="S66" s="36"/>
      <c r="T66" s="36"/>
      <c r="U66" s="36"/>
      <c r="V66" s="36"/>
      <c r="W66" s="36"/>
      <c r="X66" s="36"/>
      <c r="Y66" s="36"/>
      <c r="Z66" s="29"/>
      <c r="AA66" s="34"/>
    </row>
    <row r="67" ht="13.5" customHeight="1">
      <c r="A67" s="28"/>
      <c r="B67" s="36"/>
      <c r="C67" s="36"/>
      <c r="D67" s="36"/>
      <c r="E67" s="36"/>
      <c r="F67" s="36"/>
      <c r="G67" s="36"/>
      <c r="H67" s="36"/>
      <c r="I67" s="36"/>
      <c r="J67" s="36"/>
      <c r="K67" s="36"/>
      <c r="L67" s="36"/>
      <c r="M67" s="29"/>
      <c r="N67" s="36"/>
      <c r="O67" s="36"/>
      <c r="P67" s="36"/>
      <c r="Q67" s="36"/>
      <c r="R67" s="36"/>
      <c r="S67" s="36"/>
      <c r="T67" s="36"/>
      <c r="U67" s="36"/>
      <c r="V67" s="36"/>
      <c r="W67" s="36"/>
      <c r="X67" s="36"/>
      <c r="Y67" s="36"/>
      <c r="Z67" s="29"/>
      <c r="AA67" s="36"/>
    </row>
    <row r="68" ht="13.5" customHeight="1">
      <c r="A68" s="28"/>
      <c r="B68" s="36"/>
      <c r="C68" s="36"/>
      <c r="D68" s="36"/>
      <c r="E68" s="36"/>
      <c r="F68" s="36"/>
      <c r="G68" s="36"/>
      <c r="H68" s="36"/>
      <c r="I68" s="36"/>
      <c r="J68" s="36"/>
      <c r="K68" s="36"/>
      <c r="L68" s="36"/>
      <c r="M68" s="29"/>
      <c r="N68" s="36"/>
      <c r="O68" s="36"/>
      <c r="P68" s="36"/>
      <c r="Q68" s="36"/>
      <c r="R68" s="36"/>
      <c r="S68" s="36"/>
      <c r="T68" s="36"/>
      <c r="U68" s="36"/>
      <c r="V68" s="36"/>
      <c r="W68" s="36"/>
      <c r="X68" s="36"/>
      <c r="Y68" s="36"/>
      <c r="Z68" s="29"/>
      <c r="AA68" s="36"/>
    </row>
    <row r="69" ht="13.5" customHeight="1">
      <c r="A69" s="28"/>
      <c r="B69" s="36"/>
      <c r="C69" s="36"/>
      <c r="D69" s="36"/>
      <c r="E69" s="36"/>
      <c r="F69" s="36"/>
      <c r="G69" s="36"/>
      <c r="H69" s="36"/>
      <c r="I69" s="36"/>
      <c r="J69" s="36"/>
      <c r="K69" s="36"/>
      <c r="L69" s="36"/>
      <c r="M69" s="29"/>
      <c r="N69" s="36"/>
      <c r="O69" s="36"/>
      <c r="P69" s="36"/>
      <c r="Q69" s="36"/>
      <c r="R69" s="36"/>
      <c r="S69" s="36"/>
      <c r="T69" s="36"/>
      <c r="U69" s="36"/>
      <c r="V69" s="36"/>
      <c r="W69" s="36"/>
      <c r="X69" s="36"/>
      <c r="Y69" s="36"/>
      <c r="Z69" s="29"/>
      <c r="AA69" s="29"/>
    </row>
    <row r="70" ht="13.5" customHeight="1">
      <c r="A70" s="28"/>
      <c r="B70" s="36"/>
      <c r="C70" s="36"/>
      <c r="D70" s="36"/>
      <c r="E70" s="36"/>
      <c r="F70" s="36"/>
      <c r="G70" s="36"/>
      <c r="H70" s="36"/>
      <c r="I70" s="36"/>
      <c r="J70" s="36"/>
      <c r="K70" s="36"/>
      <c r="L70" s="36"/>
      <c r="M70" s="29"/>
      <c r="N70" s="36"/>
      <c r="O70" s="36"/>
      <c r="P70" s="36"/>
      <c r="Q70" s="36"/>
      <c r="R70" s="36"/>
      <c r="S70" s="36"/>
      <c r="T70" s="36"/>
      <c r="U70" s="36"/>
      <c r="V70" s="36"/>
      <c r="W70" s="36"/>
      <c r="X70" s="36"/>
      <c r="Y70" s="36"/>
      <c r="Z70" s="29"/>
      <c r="AA70" s="36"/>
    </row>
    <row r="71" ht="13.5" customHeight="1">
      <c r="A71" s="28"/>
      <c r="B71" s="36"/>
      <c r="C71" s="36"/>
      <c r="D71" s="36"/>
      <c r="E71" s="36"/>
      <c r="F71" s="36"/>
      <c r="G71" s="36"/>
      <c r="H71" s="36"/>
      <c r="I71" s="36"/>
      <c r="J71" s="36"/>
      <c r="K71" s="36"/>
      <c r="L71" s="36"/>
      <c r="M71" s="29"/>
      <c r="N71" s="36"/>
      <c r="O71" s="36"/>
      <c r="P71" s="36"/>
      <c r="Q71" s="36"/>
      <c r="R71" s="36"/>
      <c r="S71" s="36"/>
      <c r="T71" s="36"/>
      <c r="U71" s="36"/>
      <c r="V71" s="36"/>
      <c r="W71" s="36"/>
      <c r="X71" s="36"/>
      <c r="Y71" s="36"/>
      <c r="Z71" s="29"/>
      <c r="AA71" s="36"/>
    </row>
    <row r="72" ht="13.5" customHeight="1">
      <c r="A72" s="28"/>
      <c r="B72" s="36"/>
      <c r="C72" s="36"/>
      <c r="D72" s="36"/>
      <c r="E72" s="36"/>
      <c r="F72" s="36"/>
      <c r="G72" s="36"/>
      <c r="H72" s="36"/>
      <c r="I72" s="36"/>
      <c r="J72" s="36"/>
      <c r="K72" s="36"/>
      <c r="L72" s="36"/>
      <c r="M72" s="29"/>
      <c r="N72" s="36"/>
      <c r="O72" s="36"/>
      <c r="P72" s="36"/>
      <c r="Q72" s="36"/>
      <c r="R72" s="36"/>
      <c r="S72" s="36"/>
      <c r="T72" s="36"/>
      <c r="U72" s="36"/>
      <c r="V72" s="36"/>
      <c r="W72" s="36"/>
      <c r="X72" s="36"/>
      <c r="Y72" s="36"/>
      <c r="Z72" s="29"/>
      <c r="AA72" s="36"/>
    </row>
    <row r="73" ht="13.5" customHeight="1">
      <c r="A73" s="28"/>
      <c r="B73" s="36"/>
      <c r="C73" s="36"/>
      <c r="D73" s="36"/>
      <c r="E73" s="36"/>
      <c r="F73" s="36"/>
      <c r="G73" s="36"/>
      <c r="H73" s="36"/>
      <c r="I73" s="36"/>
      <c r="J73" s="36"/>
      <c r="K73" s="36"/>
      <c r="L73" s="36"/>
      <c r="M73" s="29"/>
      <c r="N73" s="36"/>
      <c r="O73" s="36"/>
      <c r="P73" s="36"/>
      <c r="Q73" s="36"/>
      <c r="R73" s="36"/>
      <c r="S73" s="36"/>
      <c r="T73" s="36"/>
      <c r="U73" s="36"/>
      <c r="V73" s="36"/>
      <c r="W73" s="36"/>
      <c r="X73" s="36"/>
      <c r="Y73" s="36"/>
      <c r="Z73" s="29"/>
      <c r="AA73" s="36"/>
    </row>
    <row r="74" ht="13.5" customHeight="1">
      <c r="A74" s="28"/>
      <c r="B74" s="36"/>
      <c r="C74" s="36"/>
      <c r="D74" s="36"/>
      <c r="E74" s="36"/>
      <c r="F74" s="36"/>
      <c r="G74" s="36"/>
      <c r="H74" s="36"/>
      <c r="I74" s="36"/>
      <c r="J74" s="36"/>
      <c r="K74" s="36"/>
      <c r="L74" s="36"/>
      <c r="M74" s="29"/>
      <c r="N74" s="36"/>
      <c r="O74" s="36"/>
      <c r="P74" s="36"/>
      <c r="Q74" s="36"/>
      <c r="R74" s="36"/>
      <c r="S74" s="36"/>
      <c r="T74" s="36"/>
      <c r="U74" s="36"/>
      <c r="V74" s="36"/>
      <c r="W74" s="36"/>
      <c r="X74" s="36"/>
      <c r="Y74" s="36"/>
      <c r="Z74" s="29"/>
      <c r="AA74" s="36"/>
    </row>
    <row r="75" ht="13.5" customHeight="1">
      <c r="A75" s="28"/>
      <c r="B75" s="36"/>
      <c r="C75" s="36"/>
      <c r="D75" s="36"/>
      <c r="E75" s="36"/>
      <c r="F75" s="36"/>
      <c r="G75" s="36"/>
      <c r="H75" s="36"/>
      <c r="I75" s="36"/>
      <c r="J75" s="36"/>
      <c r="K75" s="36"/>
      <c r="L75" s="36"/>
      <c r="M75" s="29"/>
      <c r="N75" s="36"/>
      <c r="O75" s="36"/>
      <c r="P75" s="36"/>
      <c r="Q75" s="36"/>
      <c r="R75" s="36"/>
      <c r="S75" s="36"/>
      <c r="T75" s="36"/>
      <c r="U75" s="36"/>
      <c r="V75" s="36"/>
      <c r="W75" s="36"/>
      <c r="X75" s="36"/>
      <c r="Y75" s="36"/>
      <c r="Z75" s="29"/>
      <c r="AA75" s="36"/>
    </row>
    <row r="76" ht="13.5" customHeight="1">
      <c r="A76" s="28"/>
      <c r="B76" s="36"/>
      <c r="C76" s="36"/>
      <c r="D76" s="36"/>
      <c r="E76" s="36"/>
      <c r="F76" s="36"/>
      <c r="G76" s="36"/>
      <c r="H76" s="36"/>
      <c r="I76" s="36"/>
      <c r="J76" s="36"/>
      <c r="K76" s="36"/>
      <c r="L76" s="36"/>
      <c r="M76" s="29"/>
      <c r="N76" s="36"/>
      <c r="O76" s="36"/>
      <c r="P76" s="36"/>
      <c r="Q76" s="36"/>
      <c r="R76" s="36"/>
      <c r="S76" s="36"/>
      <c r="T76" s="36"/>
      <c r="U76" s="36"/>
      <c r="V76" s="36"/>
      <c r="W76" s="36"/>
      <c r="X76" s="36"/>
      <c r="Y76" s="36"/>
      <c r="Z76" s="29"/>
      <c r="AA76" s="36"/>
    </row>
    <row r="77" ht="13.5" customHeight="1">
      <c r="A77" s="28"/>
      <c r="B77" s="36"/>
      <c r="C77" s="36"/>
      <c r="D77" s="36"/>
      <c r="E77" s="36"/>
      <c r="F77" s="36"/>
      <c r="G77" s="36"/>
      <c r="H77" s="36"/>
      <c r="I77" s="36"/>
      <c r="J77" s="36"/>
      <c r="K77" s="36"/>
      <c r="L77" s="36"/>
      <c r="M77" s="29"/>
      <c r="N77" s="36"/>
      <c r="O77" s="36"/>
      <c r="P77" s="36"/>
      <c r="Q77" s="36"/>
      <c r="R77" s="36"/>
      <c r="S77" s="36"/>
      <c r="T77" s="36"/>
      <c r="U77" s="36"/>
      <c r="V77" s="36"/>
      <c r="W77" s="36"/>
      <c r="X77" s="36"/>
      <c r="Y77" s="36"/>
      <c r="Z77" s="29"/>
      <c r="AA77" s="36"/>
    </row>
    <row r="78" ht="13.5" customHeight="1">
      <c r="A78" s="28"/>
      <c r="B78" s="36"/>
      <c r="C78" s="36"/>
      <c r="D78" s="36"/>
      <c r="E78" s="36"/>
      <c r="F78" s="36"/>
      <c r="G78" s="36"/>
      <c r="H78" s="36"/>
      <c r="I78" s="36"/>
      <c r="J78" s="36"/>
      <c r="K78" s="36"/>
      <c r="L78" s="36"/>
      <c r="M78" s="29"/>
      <c r="N78" s="36"/>
      <c r="O78" s="36"/>
      <c r="P78" s="36"/>
      <c r="Q78" s="36"/>
      <c r="R78" s="36"/>
      <c r="S78" s="36"/>
      <c r="T78" s="36"/>
      <c r="U78" s="36"/>
      <c r="V78" s="36"/>
      <c r="W78" s="36"/>
      <c r="X78" s="36"/>
      <c r="Y78" s="36"/>
      <c r="Z78" s="36"/>
      <c r="AA78" s="36"/>
    </row>
    <row r="79" ht="13.5" customHeight="1">
      <c r="A79" s="28"/>
      <c r="B79" s="36"/>
      <c r="C79" s="36"/>
      <c r="D79" s="36"/>
      <c r="E79" s="36"/>
      <c r="F79" s="36"/>
      <c r="G79" s="36"/>
      <c r="H79" s="36"/>
      <c r="I79" s="36"/>
      <c r="J79" s="36"/>
      <c r="K79" s="36"/>
      <c r="L79" s="36"/>
      <c r="M79" s="29"/>
      <c r="N79" s="36"/>
      <c r="O79" s="36"/>
      <c r="P79" s="36"/>
      <c r="Q79" s="36"/>
      <c r="R79" s="36"/>
      <c r="S79" s="36"/>
      <c r="T79" s="36"/>
      <c r="U79" s="36"/>
      <c r="V79" s="36"/>
      <c r="W79" s="36"/>
      <c r="X79" s="36"/>
      <c r="Y79" s="36"/>
      <c r="Z79" s="36"/>
      <c r="AA79" s="36"/>
    </row>
    <row r="80" ht="13.5" customHeight="1">
      <c r="A80" s="28"/>
      <c r="B80" s="36"/>
      <c r="C80" s="36"/>
      <c r="D80" s="36"/>
      <c r="E80" s="36"/>
      <c r="F80" s="36"/>
      <c r="G80" s="36"/>
      <c r="H80" s="36"/>
      <c r="I80" s="36"/>
      <c r="J80" s="36"/>
      <c r="K80" s="36"/>
      <c r="L80" s="36"/>
      <c r="M80" s="29"/>
      <c r="N80" s="36"/>
      <c r="O80" s="36"/>
      <c r="P80" s="36"/>
      <c r="Q80" s="36"/>
      <c r="R80" s="36"/>
      <c r="S80" s="36"/>
      <c r="T80" s="36"/>
      <c r="U80" s="36"/>
      <c r="V80" s="36"/>
      <c r="W80" s="36"/>
      <c r="X80" s="36"/>
      <c r="Y80" s="36"/>
      <c r="Z80" s="36"/>
      <c r="AA80" s="36"/>
    </row>
    <row r="81" ht="13.5" customHeight="1">
      <c r="A81" s="28"/>
      <c r="B81" s="36"/>
      <c r="C81" s="36"/>
      <c r="D81" s="36"/>
      <c r="E81" s="36"/>
      <c r="F81" s="36"/>
      <c r="G81" s="36"/>
      <c r="H81" s="36"/>
      <c r="I81" s="36"/>
      <c r="J81" s="36"/>
      <c r="K81" s="36"/>
      <c r="L81" s="36"/>
      <c r="M81" s="29"/>
      <c r="N81" s="36"/>
      <c r="O81" s="36"/>
      <c r="P81" s="36"/>
      <c r="Q81" s="36"/>
      <c r="R81" s="36"/>
      <c r="S81" s="36"/>
      <c r="T81" s="36"/>
      <c r="U81" s="36"/>
      <c r="V81" s="36"/>
      <c r="W81" s="36"/>
      <c r="X81" s="36"/>
      <c r="Y81" s="36"/>
      <c r="Z81" s="36"/>
      <c r="AA81" s="36"/>
    </row>
    <row r="82" ht="13.5" customHeight="1">
      <c r="A82" s="28"/>
      <c r="B82" s="36"/>
      <c r="C82" s="36"/>
      <c r="D82" s="36"/>
      <c r="E82" s="36"/>
      <c r="F82" s="36"/>
      <c r="G82" s="36"/>
      <c r="H82" s="36"/>
      <c r="I82" s="36"/>
      <c r="J82" s="36"/>
      <c r="K82" s="36"/>
      <c r="L82" s="36"/>
      <c r="M82" s="29"/>
      <c r="N82" s="36"/>
      <c r="O82" s="36"/>
      <c r="P82" s="36"/>
      <c r="Q82" s="36"/>
      <c r="R82" s="36"/>
      <c r="S82" s="36"/>
      <c r="T82" s="36"/>
      <c r="U82" s="36"/>
      <c r="V82" s="36"/>
      <c r="W82" s="36"/>
      <c r="X82" s="36"/>
      <c r="Y82" s="36"/>
      <c r="Z82" s="36"/>
      <c r="AA82" s="36"/>
    </row>
    <row r="83" ht="13.5" customHeight="1">
      <c r="A83" s="28"/>
      <c r="B83" s="36"/>
      <c r="C83" s="36"/>
      <c r="D83" s="36"/>
      <c r="E83" s="36"/>
      <c r="F83" s="36"/>
      <c r="G83" s="36"/>
      <c r="H83" s="36"/>
      <c r="I83" s="36"/>
      <c r="J83" s="36"/>
      <c r="K83" s="36"/>
      <c r="L83" s="36"/>
      <c r="M83" s="29"/>
      <c r="N83" s="36"/>
      <c r="O83" s="36"/>
      <c r="P83" s="36"/>
      <c r="Q83" s="36"/>
      <c r="R83" s="36"/>
      <c r="S83" s="36"/>
      <c r="T83" s="36"/>
      <c r="U83" s="36"/>
      <c r="V83" s="36"/>
      <c r="W83" s="36"/>
      <c r="X83" s="36"/>
      <c r="Y83" s="36"/>
      <c r="Z83" s="36"/>
      <c r="AA83" s="36"/>
    </row>
    <row r="84" ht="13.5" customHeight="1">
      <c r="A84" s="28"/>
      <c r="B84" s="29"/>
      <c r="C84" s="29"/>
      <c r="D84" s="36"/>
      <c r="E84" s="29"/>
      <c r="F84" s="29"/>
      <c r="G84" s="29"/>
      <c r="H84" s="29"/>
      <c r="I84" s="29"/>
      <c r="J84" s="36"/>
      <c r="K84" s="36"/>
      <c r="L84" s="36"/>
      <c r="M84" s="29"/>
      <c r="N84" s="36"/>
      <c r="O84" s="36"/>
      <c r="P84" s="36"/>
      <c r="Q84" s="36"/>
      <c r="R84" s="36"/>
      <c r="S84" s="36"/>
      <c r="T84" s="36"/>
      <c r="U84" s="36"/>
      <c r="V84" s="36"/>
      <c r="W84" s="36"/>
      <c r="X84" s="36"/>
      <c r="Y84" s="36"/>
      <c r="Z84" s="36"/>
      <c r="AA84" s="36"/>
    </row>
    <row r="85" ht="13.5" customHeight="1">
      <c r="A85" s="45"/>
      <c r="B85" s="34"/>
      <c r="C85" s="36"/>
      <c r="D85" s="36"/>
      <c r="E85" s="36"/>
      <c r="F85" s="36"/>
      <c r="G85" s="36"/>
      <c r="H85" s="36"/>
      <c r="I85" s="36"/>
      <c r="J85" s="36"/>
      <c r="K85" s="36"/>
      <c r="L85" s="36"/>
      <c r="M85" s="29"/>
      <c r="N85" s="36"/>
      <c r="O85" s="36"/>
      <c r="P85" s="36"/>
      <c r="Q85" s="36"/>
      <c r="R85" s="36"/>
      <c r="S85" s="36"/>
      <c r="T85" s="36"/>
      <c r="U85" s="36"/>
      <c r="V85" s="36"/>
      <c r="W85" s="36"/>
      <c r="X85" s="36"/>
      <c r="Y85" s="36"/>
      <c r="Z85" s="36"/>
      <c r="AA85" s="36"/>
    </row>
    <row r="86" ht="13.5" customHeight="1">
      <c r="A86" s="46"/>
      <c r="B86" s="36"/>
      <c r="C86" s="36"/>
      <c r="D86" s="36"/>
      <c r="E86" s="36"/>
      <c r="F86" s="36"/>
      <c r="G86" s="36"/>
      <c r="H86" s="36"/>
      <c r="I86" s="36"/>
      <c r="J86" s="36"/>
      <c r="K86" s="36"/>
      <c r="L86" s="36"/>
      <c r="M86" s="29"/>
      <c r="N86" s="36"/>
      <c r="O86" s="36"/>
      <c r="P86" s="36"/>
      <c r="Q86" s="36"/>
      <c r="R86" s="36"/>
      <c r="S86" s="36"/>
      <c r="T86" s="36"/>
      <c r="U86" s="36"/>
      <c r="V86" s="36"/>
      <c r="W86" s="36"/>
      <c r="X86" s="36"/>
      <c r="Y86" s="36"/>
      <c r="Z86" s="36"/>
      <c r="AA86" s="36"/>
    </row>
    <row r="87" ht="13.5" customHeight="1">
      <c r="A87" s="45"/>
      <c r="B87" s="36"/>
      <c r="C87" s="36"/>
      <c r="D87" s="36"/>
      <c r="E87" s="36"/>
      <c r="F87" s="36"/>
      <c r="G87" s="36"/>
      <c r="H87" s="36"/>
      <c r="I87" s="36"/>
      <c r="J87" s="36"/>
      <c r="K87" s="36"/>
      <c r="L87" s="36"/>
      <c r="M87" s="29"/>
      <c r="N87" s="36"/>
      <c r="O87" s="36"/>
      <c r="P87" s="36"/>
      <c r="Q87" s="36"/>
      <c r="R87" s="36"/>
      <c r="S87" s="36"/>
      <c r="T87" s="36"/>
      <c r="U87" s="36"/>
      <c r="V87" s="36"/>
      <c r="W87" s="36"/>
      <c r="X87" s="36"/>
      <c r="Y87" s="36"/>
      <c r="Z87" s="36"/>
      <c r="AA87" s="36"/>
    </row>
    <row r="88" ht="13.5" customHeight="1">
      <c r="A88" s="45"/>
      <c r="B88" s="36"/>
      <c r="C88" s="36"/>
      <c r="D88" s="36"/>
      <c r="E88" s="36"/>
      <c r="F88" s="36"/>
      <c r="G88" s="36"/>
      <c r="H88" s="36"/>
      <c r="I88" s="36"/>
      <c r="J88" s="36"/>
      <c r="K88" s="36"/>
      <c r="L88" s="36"/>
      <c r="M88" s="29"/>
      <c r="N88" s="36"/>
      <c r="O88" s="36"/>
      <c r="P88" s="36"/>
      <c r="Q88" s="36"/>
      <c r="R88" s="36"/>
      <c r="S88" s="36"/>
      <c r="T88" s="36"/>
      <c r="U88" s="36"/>
      <c r="V88" s="36"/>
      <c r="W88" s="36"/>
      <c r="X88" s="36"/>
      <c r="Y88" s="36"/>
      <c r="Z88" s="36"/>
      <c r="AA88" s="36"/>
    </row>
    <row r="89" ht="13.5" customHeight="1">
      <c r="A89" s="45"/>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row>
    <row r="90" ht="13.5" customHeight="1">
      <c r="A90" s="45"/>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row>
    <row r="91" ht="13.5" customHeight="1">
      <c r="A91" s="45"/>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row>
    <row r="92" ht="13.5" customHeight="1">
      <c r="A92" s="45"/>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row>
    <row r="93" ht="13.5" customHeight="1">
      <c r="A93" s="45"/>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row>
    <row r="94" ht="13.5" customHeight="1">
      <c r="A94" s="45"/>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row>
    <row r="95" ht="13.5" customHeight="1">
      <c r="A95" s="45"/>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row>
    <row r="96" ht="13.5" customHeight="1">
      <c r="A96" s="45"/>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row>
    <row r="97" ht="13.5" customHeight="1">
      <c r="A97" s="45"/>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row>
    <row r="98" ht="13.5" customHeight="1">
      <c r="A98" s="28"/>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row>
    <row r="99" ht="13.5" customHeight="1">
      <c r="A99" s="28"/>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row>
    <row r="100" ht="13.5" customHeight="1">
      <c r="A100" s="28"/>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row>
    <row r="101" ht="13.5" customHeight="1">
      <c r="A101" s="28"/>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row>
    <row r="102" ht="13.5" customHeight="1">
      <c r="A102" s="28"/>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row>
    <row r="103" ht="13.5" customHeight="1">
      <c r="A103" s="28"/>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row>
    <row r="104" ht="13.5" customHeight="1">
      <c r="A104" s="28"/>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row>
    <row r="105" ht="13.5" customHeight="1">
      <c r="A105" s="28"/>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row>
    <row r="106" ht="13.5" customHeight="1">
      <c r="A106" s="28"/>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row>
    <row r="107" ht="13.5" customHeight="1">
      <c r="A107" s="28"/>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row>
    <row r="108" ht="13.5" customHeight="1">
      <c r="A108" s="28"/>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row>
    <row r="109" ht="13.5" customHeight="1">
      <c r="A109" s="28"/>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row>
    <row r="110" ht="13.5" customHeight="1">
      <c r="A110" s="28"/>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row>
    <row r="111" ht="13.5" customHeight="1">
      <c r="A111" s="28"/>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row>
    <row r="112" ht="13.5" customHeight="1">
      <c r="A112" s="28"/>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row>
    <row r="113" ht="13.5" customHeight="1">
      <c r="A113" s="28"/>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row>
    <row r="114" ht="13.5" customHeight="1">
      <c r="A114" s="28"/>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row>
    <row r="115" ht="13.5" customHeight="1">
      <c r="A115" s="28"/>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row>
    <row r="116" ht="13.5" customHeight="1">
      <c r="A116" s="28"/>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row>
    <row r="117" ht="13.5" customHeight="1">
      <c r="A117" s="28"/>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row>
    <row r="118" ht="13.5" customHeight="1">
      <c r="A118" s="28"/>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row>
    <row r="119" ht="13.5" customHeight="1">
      <c r="A119" s="28"/>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row>
    <row r="120" ht="13.5" customHeight="1">
      <c r="A120" s="28"/>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row>
    <row r="121" ht="13.5" customHeight="1">
      <c r="A121" s="28"/>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row>
    <row r="122" ht="13.5" customHeight="1">
      <c r="A122" s="28"/>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row>
    <row r="123" ht="13.5" customHeight="1">
      <c r="A123" s="28"/>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row>
    <row r="124" ht="13.5" customHeight="1">
      <c r="A124" s="28"/>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row>
    <row r="125" ht="13.5" customHeight="1">
      <c r="A125" s="28"/>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row>
    <row r="126" ht="13.5" customHeight="1">
      <c r="A126" s="28"/>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row>
    <row r="127" ht="13.5" customHeight="1">
      <c r="A127" s="28"/>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row>
    <row r="128" ht="13.5" customHeight="1">
      <c r="A128" s="28"/>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row>
    <row r="129" ht="13.5" customHeight="1">
      <c r="A129" s="28"/>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row>
    <row r="130" ht="13.5" customHeight="1">
      <c r="A130" s="28"/>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row>
    <row r="131" ht="13.5" customHeight="1">
      <c r="A131" s="28"/>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row>
    <row r="132" ht="13.5" customHeight="1">
      <c r="A132" s="28"/>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row>
    <row r="133" ht="13.5" customHeight="1">
      <c r="A133" s="28"/>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row>
    <row r="134" ht="13.5" customHeight="1">
      <c r="A134" s="28"/>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row>
    <row r="135" ht="13.5" customHeight="1">
      <c r="A135" s="28"/>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row>
    <row r="136" ht="13.5" customHeight="1">
      <c r="A136" s="28"/>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row>
    <row r="137" ht="13.5" customHeight="1">
      <c r="A137" s="28"/>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row>
    <row r="138" ht="13.5" customHeight="1">
      <c r="A138" s="28"/>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row>
    <row r="139" ht="13.5" customHeight="1">
      <c r="A139" s="28"/>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row>
    <row r="140" ht="13.5" customHeight="1">
      <c r="A140" s="28"/>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row>
    <row r="141" ht="13.5" customHeight="1">
      <c r="A141" s="28"/>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row>
    <row r="142" ht="13.5" customHeight="1">
      <c r="A142" s="28"/>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row>
    <row r="143" ht="13.5" customHeight="1">
      <c r="A143" s="28"/>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row>
    <row r="144" ht="13.5" customHeight="1">
      <c r="A144" s="28"/>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row>
    <row r="145" ht="13.5" customHeight="1">
      <c r="A145" s="28"/>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row>
    <row r="146" ht="13.5" customHeight="1">
      <c r="A146" s="28"/>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row>
    <row r="147" ht="13.5" customHeight="1">
      <c r="A147" s="28"/>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row>
    <row r="148" ht="13.5" customHeight="1">
      <c r="A148" s="28"/>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row>
    <row r="149" ht="13.5" customHeight="1">
      <c r="A149" s="28"/>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row>
    <row r="150" ht="13.5" customHeight="1">
      <c r="A150" s="28"/>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row>
    <row r="151" ht="13.5" customHeight="1">
      <c r="A151" s="28"/>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row>
    <row r="152" ht="13.5" customHeight="1">
      <c r="A152" s="28"/>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row>
    <row r="153" ht="13.5" customHeight="1">
      <c r="A153" s="28"/>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row>
    <row r="154" ht="13.5" customHeight="1">
      <c r="A154" s="28"/>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row>
    <row r="155" ht="13.5" customHeight="1">
      <c r="A155" s="28"/>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row>
    <row r="156" ht="13.5" customHeight="1">
      <c r="A156" s="28"/>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row>
    <row r="157" ht="13.5" customHeight="1">
      <c r="A157" s="28"/>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row>
    <row r="158" ht="13.5" customHeight="1">
      <c r="A158" s="28"/>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row>
    <row r="159" ht="13.5" customHeight="1">
      <c r="A159" s="28"/>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row>
    <row r="160" ht="13.5" customHeight="1">
      <c r="A160" s="28"/>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row>
    <row r="161" ht="13.5" customHeight="1">
      <c r="A161" s="28"/>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row>
    <row r="162" ht="13.5" customHeight="1">
      <c r="A162" s="28"/>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row>
    <row r="163" ht="13.5" customHeight="1">
      <c r="A163" s="28"/>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row>
    <row r="164" ht="13.5" customHeight="1">
      <c r="A164" s="28"/>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row>
    <row r="165" ht="13.5" customHeight="1">
      <c r="A165" s="28"/>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row>
    <row r="166" ht="13.5" customHeight="1">
      <c r="A166" s="28"/>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row>
    <row r="167" ht="13.5" customHeight="1">
      <c r="A167" s="28"/>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row>
    <row r="168" ht="13.5" customHeight="1">
      <c r="A168" s="28"/>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row>
    <row r="169" ht="13.5" customHeight="1">
      <c r="A169" s="28"/>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row>
    <row r="170" ht="13.5" customHeight="1">
      <c r="A170" s="28"/>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row>
    <row r="171" ht="13.5" customHeight="1">
      <c r="A171" s="28"/>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row>
    <row r="172" ht="13.5" customHeight="1">
      <c r="A172" s="28"/>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row>
    <row r="173" ht="13.5" customHeight="1">
      <c r="A173" s="28"/>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row>
    <row r="174" ht="13.5" customHeight="1">
      <c r="A174" s="28"/>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row>
    <row r="175" ht="13.5" customHeight="1">
      <c r="A175" s="28"/>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row>
    <row r="176" ht="13.5" customHeight="1">
      <c r="A176" s="28"/>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row>
    <row r="177" ht="13.5" customHeight="1">
      <c r="A177" s="28"/>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row>
    <row r="178" ht="13.5" customHeight="1">
      <c r="A178" s="28"/>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row>
    <row r="179" ht="13.5" customHeight="1">
      <c r="A179" s="28"/>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row>
    <row r="180" ht="13.5" customHeight="1">
      <c r="A180" s="28"/>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row>
    <row r="181" ht="13.5" customHeight="1">
      <c r="A181" s="28"/>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row>
    <row r="182" ht="13.5" customHeight="1">
      <c r="A182" s="28"/>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row>
    <row r="183" ht="13.5" customHeight="1">
      <c r="A183" s="28"/>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row>
    <row r="184" ht="13.5" customHeight="1">
      <c r="A184" s="28"/>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row>
    <row r="185" ht="13.5" customHeight="1">
      <c r="A185" s="28"/>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row>
    <row r="186" ht="13.5" customHeight="1">
      <c r="A186" s="28"/>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row>
    <row r="187" ht="13.5" customHeight="1">
      <c r="A187" s="28"/>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row>
    <row r="188" ht="13.5" customHeight="1">
      <c r="A188" s="28"/>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row>
    <row r="189" ht="13.5" customHeight="1">
      <c r="A189" s="28"/>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row>
    <row r="190" ht="13.5" customHeight="1">
      <c r="A190" s="28"/>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row>
    <row r="191" ht="13.5" customHeight="1">
      <c r="A191" s="28"/>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row>
    <row r="192" ht="13.5" customHeight="1">
      <c r="A192" s="28"/>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row>
    <row r="193" ht="13.5" customHeight="1">
      <c r="A193" s="28"/>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row>
    <row r="194" ht="13.5" customHeight="1">
      <c r="A194" s="28"/>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row>
    <row r="195" ht="13.5" customHeight="1">
      <c r="A195" s="28"/>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row>
    <row r="196" ht="13.5" customHeight="1">
      <c r="A196" s="28"/>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row>
    <row r="197" ht="13.5" customHeight="1">
      <c r="A197" s="28"/>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row>
    <row r="198" ht="13.5" customHeight="1">
      <c r="A198" s="28"/>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row>
    <row r="199" ht="13.5" customHeight="1">
      <c r="A199" s="28"/>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row>
    <row r="200" ht="13.5" customHeight="1">
      <c r="A200" s="28"/>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row>
    <row r="201" ht="13.5" customHeight="1">
      <c r="A201" s="28"/>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row>
    <row r="202" ht="13.5" customHeight="1">
      <c r="A202" s="28"/>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row>
    <row r="203" ht="13.5" customHeight="1">
      <c r="A203" s="28"/>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row>
    <row r="204" ht="13.5" customHeight="1">
      <c r="A204" s="28"/>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row>
    <row r="205" ht="13.5" customHeight="1">
      <c r="A205" s="28"/>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row>
    <row r="206" ht="13.5" customHeight="1">
      <c r="A206" s="28"/>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row>
    <row r="207" ht="13.5" customHeight="1">
      <c r="A207" s="28"/>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row>
    <row r="208" ht="13.5" customHeight="1">
      <c r="A208" s="28"/>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row>
    <row r="209" ht="13.5" customHeight="1">
      <c r="A209" s="28"/>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row>
    <row r="210" ht="13.5" customHeight="1">
      <c r="A210" s="28"/>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row>
    <row r="211" ht="13.5" customHeight="1">
      <c r="A211" s="28"/>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row>
    <row r="212" ht="13.5" customHeight="1">
      <c r="A212" s="28"/>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row>
    <row r="213" ht="13.5" customHeight="1">
      <c r="A213" s="28"/>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row>
    <row r="214" ht="13.5" customHeight="1">
      <c r="A214" s="28"/>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row>
    <row r="215" ht="13.5" customHeight="1">
      <c r="A215" s="28"/>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row>
    <row r="216" ht="13.5" customHeight="1">
      <c r="A216" s="28"/>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row>
    <row r="217" ht="13.5" customHeight="1">
      <c r="A217" s="28"/>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row>
    <row r="218" ht="13.5" customHeight="1">
      <c r="A218" s="28"/>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row>
    <row r="219" ht="13.5" customHeight="1">
      <c r="A219" s="28"/>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row>
    <row r="220" ht="13.5" customHeight="1">
      <c r="A220" s="28"/>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row>
    <row r="221" ht="13.5" customHeight="1">
      <c r="A221" s="28"/>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row>
    <row r="222" ht="13.5" customHeight="1">
      <c r="A222" s="28"/>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row>
    <row r="223" ht="13.5" customHeight="1">
      <c r="A223" s="28"/>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row>
    <row r="224" ht="13.5" customHeight="1">
      <c r="A224" s="28"/>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row>
    <row r="225" ht="13.5" customHeight="1">
      <c r="A225" s="28"/>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row>
    <row r="226" ht="13.5" customHeight="1">
      <c r="A226" s="28"/>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row>
    <row r="227" ht="13.5" customHeight="1">
      <c r="A227" s="28"/>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row>
    <row r="228" ht="13.5" customHeight="1">
      <c r="A228" s="28"/>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row>
    <row r="229" ht="13.5" customHeight="1">
      <c r="A229" s="28"/>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row>
    <row r="230" ht="13.5" customHeight="1">
      <c r="A230" s="28"/>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row>
    <row r="231" ht="13.5" customHeight="1">
      <c r="A231" s="28"/>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row>
    <row r="232" ht="13.5" customHeight="1">
      <c r="A232" s="28"/>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row>
    <row r="233" ht="13.5" customHeight="1">
      <c r="A233" s="28"/>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row>
    <row r="234" ht="13.5" customHeight="1">
      <c r="A234" s="28"/>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row>
    <row r="235" ht="13.5" customHeight="1">
      <c r="A235" s="28"/>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row>
    <row r="236" ht="13.5" customHeight="1">
      <c r="A236" s="28"/>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row>
    <row r="237" ht="13.5" customHeight="1">
      <c r="A237" s="28"/>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row>
    <row r="238" ht="13.5" customHeight="1">
      <c r="A238" s="28"/>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row>
    <row r="239" ht="13.5" customHeight="1">
      <c r="A239" s="28"/>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row>
    <row r="240" ht="13.5" customHeight="1">
      <c r="A240" s="28"/>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row>
    <row r="241" ht="13.5" customHeight="1">
      <c r="A241" s="28"/>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row>
    <row r="242" ht="13.5" customHeight="1">
      <c r="A242" s="28"/>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row>
    <row r="243" ht="13.5" customHeight="1">
      <c r="A243" s="28"/>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row>
    <row r="244" ht="13.5" customHeight="1">
      <c r="A244" s="28"/>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row>
    <row r="245" ht="13.5" customHeight="1">
      <c r="A245" s="28"/>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row>
    <row r="246" ht="13.5" customHeight="1">
      <c r="A246" s="28"/>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row>
    <row r="247" ht="13.5" customHeight="1">
      <c r="A247" s="28"/>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row>
    <row r="248" ht="13.5" customHeight="1">
      <c r="A248" s="28"/>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row>
    <row r="249" ht="13.5" customHeight="1">
      <c r="A249" s="28"/>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row>
    <row r="250" ht="13.5" customHeight="1">
      <c r="A250" s="28"/>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row>
    <row r="251" ht="13.5" customHeight="1">
      <c r="A251" s="28"/>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row>
    <row r="252" ht="13.5" customHeight="1">
      <c r="A252" s="28"/>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row>
    <row r="253" ht="13.5" customHeight="1">
      <c r="A253" s="28"/>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row>
    <row r="254" ht="13.5" customHeight="1">
      <c r="A254" s="28"/>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row>
    <row r="255" ht="13.5" customHeight="1">
      <c r="A255" s="28"/>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row>
    <row r="256" ht="13.5" customHeight="1">
      <c r="A256" s="28"/>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row>
    <row r="257" ht="13.5" customHeight="1">
      <c r="A257" s="28"/>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row>
    <row r="258" ht="13.5" customHeight="1">
      <c r="A258" s="28"/>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row>
    <row r="259" ht="13.5" customHeight="1">
      <c r="A259" s="28"/>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row>
    <row r="260" ht="13.5" customHeight="1">
      <c r="A260" s="28"/>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row>
    <row r="261" ht="13.5" customHeight="1">
      <c r="A261" s="28"/>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row>
    <row r="262" ht="13.5" customHeight="1">
      <c r="A262" s="28"/>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row>
    <row r="263" ht="13.5" customHeight="1">
      <c r="A263" s="28"/>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row>
    <row r="264" ht="13.5" customHeight="1">
      <c r="A264" s="28"/>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row>
    <row r="265" ht="13.5" customHeight="1">
      <c r="A265" s="28"/>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row>
    <row r="266" ht="13.5" customHeight="1">
      <c r="A266" s="28"/>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row>
    <row r="267" ht="13.5" customHeight="1">
      <c r="A267" s="28"/>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row>
    <row r="268" ht="13.5" customHeight="1">
      <c r="A268" s="28"/>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row>
    <row r="269" ht="13.5" customHeight="1">
      <c r="A269" s="28"/>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row>
    <row r="270" ht="13.5" customHeight="1">
      <c r="A270" s="28"/>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row>
    <row r="271" ht="13.5" customHeight="1">
      <c r="A271" s="28"/>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row>
    <row r="272" ht="13.5" customHeight="1">
      <c r="A272" s="28"/>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row>
    <row r="273" ht="13.5" customHeight="1">
      <c r="A273" s="28"/>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row>
    <row r="274" ht="13.5" customHeight="1">
      <c r="A274" s="28"/>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row>
    <row r="275" ht="13.5" customHeight="1">
      <c r="A275" s="28"/>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row>
    <row r="276" ht="13.5" customHeight="1">
      <c r="A276" s="28"/>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row>
    <row r="277" ht="13.5" customHeight="1">
      <c r="A277" s="28"/>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row>
    <row r="278" ht="13.5" customHeight="1">
      <c r="A278" s="28"/>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row>
    <row r="279" ht="13.5" customHeight="1">
      <c r="A279" s="28"/>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row>
    <row r="280" ht="13.5" customHeight="1">
      <c r="A280" s="28"/>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row>
    <row r="281" ht="13.5" customHeight="1">
      <c r="A281" s="28"/>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row>
    <row r="282" ht="13.5" customHeight="1">
      <c r="A282" s="28"/>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row>
    <row r="283" ht="13.5" customHeight="1">
      <c r="A283" s="28"/>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row>
    <row r="284" ht="13.5" customHeight="1">
      <c r="A284" s="28"/>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row>
    <row r="285" ht="13.5" customHeight="1">
      <c r="A285" s="28"/>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row>
    <row r="286" ht="13.5" customHeight="1">
      <c r="A286" s="28"/>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row>
    <row r="287" ht="13.5" customHeight="1">
      <c r="A287" s="28"/>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row>
    <row r="288" ht="13.5" customHeight="1">
      <c r="A288" s="28"/>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row>
    <row r="289" ht="13.5" customHeight="1">
      <c r="A289" s="28"/>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row>
    <row r="290" ht="13.5" customHeight="1">
      <c r="A290" s="28"/>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row>
    <row r="291" ht="13.5" customHeight="1">
      <c r="A291" s="28"/>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row>
    <row r="292" ht="13.5" customHeight="1">
      <c r="A292" s="28"/>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row>
    <row r="293" ht="13.5" customHeight="1">
      <c r="A293" s="28"/>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row>
    <row r="294" ht="13.5" customHeight="1">
      <c r="A294" s="28"/>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row>
    <row r="295" ht="13.5" customHeight="1">
      <c r="A295" s="28"/>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row>
    <row r="296" ht="13.5" customHeight="1">
      <c r="A296" s="28"/>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row>
    <row r="297" ht="13.5" customHeight="1">
      <c r="A297" s="28"/>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row>
    <row r="298" ht="13.5" customHeight="1">
      <c r="A298" s="28"/>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row>
    <row r="299" ht="13.5" customHeight="1">
      <c r="A299" s="28"/>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row>
    <row r="300" ht="13.5" customHeight="1">
      <c r="A300" s="28"/>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row>
    <row r="301" ht="13.5" customHeight="1">
      <c r="A301" s="28"/>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row>
    <row r="302" ht="13.5" customHeight="1">
      <c r="A302" s="28"/>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row>
    <row r="303" ht="13.5" customHeight="1">
      <c r="A303" s="28"/>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row>
    <row r="304" ht="13.5" customHeight="1">
      <c r="A304" s="28"/>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row>
    <row r="305" ht="13.5" customHeight="1">
      <c r="A305" s="28"/>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row>
    <row r="306" ht="13.5" customHeight="1">
      <c r="A306" s="28"/>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row>
    <row r="307" ht="13.5" customHeight="1">
      <c r="A307" s="28"/>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row>
    <row r="308" ht="13.5" customHeight="1">
      <c r="A308" s="28"/>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row>
    <row r="309" ht="13.5" customHeight="1">
      <c r="A309" s="28"/>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row>
    <row r="310" ht="13.5" customHeight="1">
      <c r="A310" s="28"/>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row>
    <row r="311" ht="13.5" customHeight="1">
      <c r="A311" s="28"/>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row>
    <row r="312" ht="13.5" customHeight="1">
      <c r="A312" s="28"/>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row>
    <row r="313" ht="13.5" customHeight="1">
      <c r="A313" s="28"/>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row>
    <row r="314" ht="13.5" customHeight="1">
      <c r="A314" s="28"/>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row>
    <row r="315" ht="13.5" customHeight="1">
      <c r="A315" s="28"/>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row>
    <row r="316" ht="13.5" customHeight="1">
      <c r="A316" s="28"/>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row>
    <row r="317" ht="13.5" customHeight="1">
      <c r="A317" s="28"/>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row>
    <row r="318" ht="13.5" customHeight="1">
      <c r="A318" s="28"/>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row>
    <row r="319" ht="13.5" customHeight="1">
      <c r="A319" s="28"/>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row>
    <row r="320" ht="13.5" customHeight="1">
      <c r="A320" s="28"/>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row>
    <row r="321" ht="13.5" customHeight="1">
      <c r="A321" s="28"/>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row>
    <row r="322" ht="13.5" customHeight="1">
      <c r="A322" s="28"/>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row>
    <row r="323" ht="13.5" customHeight="1">
      <c r="A323" s="28"/>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row>
    <row r="324" ht="13.5" customHeight="1">
      <c r="A324" s="28"/>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row>
    <row r="325" ht="13.5" customHeight="1">
      <c r="A325" s="28"/>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row>
    <row r="326" ht="13.5" customHeight="1">
      <c r="A326" s="28"/>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row>
    <row r="327" ht="13.5" customHeight="1">
      <c r="A327" s="28"/>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row>
    <row r="328" ht="13.5" customHeight="1">
      <c r="A328" s="28"/>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row>
    <row r="329" ht="13.5" customHeight="1">
      <c r="A329" s="28"/>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row>
    <row r="330" ht="13.5" customHeight="1">
      <c r="A330" s="28"/>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row>
    <row r="331" ht="13.5" customHeight="1">
      <c r="A331" s="28"/>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row>
    <row r="332" ht="13.5" customHeight="1">
      <c r="A332" s="28"/>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row>
    <row r="333" ht="13.5" customHeight="1">
      <c r="A333" s="28"/>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row>
    <row r="334" ht="13.5" customHeight="1">
      <c r="A334" s="28"/>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row>
    <row r="335" ht="13.5" customHeight="1">
      <c r="A335" s="28"/>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row>
    <row r="336" ht="13.5" customHeight="1">
      <c r="A336" s="28"/>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row>
    <row r="337" ht="13.5" customHeight="1">
      <c r="A337" s="28"/>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row>
    <row r="338" ht="13.5" customHeight="1">
      <c r="A338" s="28"/>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row>
    <row r="339" ht="13.5" customHeight="1">
      <c r="A339" s="28"/>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row>
    <row r="340" ht="13.5" customHeight="1">
      <c r="A340" s="28"/>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row>
    <row r="341" ht="13.5" customHeight="1">
      <c r="A341" s="28"/>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row>
    <row r="342" ht="13.5" customHeight="1">
      <c r="A342" s="28"/>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row>
    <row r="343" ht="13.5" customHeight="1">
      <c r="A343" s="28"/>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row>
    <row r="344" ht="13.5" customHeight="1">
      <c r="A344" s="28"/>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row>
    <row r="345" ht="13.5" customHeight="1">
      <c r="A345" s="28"/>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row>
    <row r="346" ht="13.5" customHeight="1">
      <c r="A346" s="28"/>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row>
    <row r="347" ht="13.5" customHeight="1">
      <c r="A347" s="28"/>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row>
    <row r="348" ht="13.5" customHeight="1">
      <c r="A348" s="28"/>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row>
    <row r="349" ht="13.5" customHeight="1">
      <c r="A349" s="28"/>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row>
    <row r="350" ht="13.5" customHeight="1">
      <c r="A350" s="28"/>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row>
    <row r="351" ht="13.5" customHeight="1">
      <c r="A351" s="28"/>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row>
    <row r="352" ht="13.5" customHeight="1">
      <c r="A352" s="28"/>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row>
    <row r="353" ht="13.5" customHeight="1">
      <c r="A353" s="28"/>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row>
    <row r="354" ht="13.5" customHeight="1">
      <c r="A354" s="28"/>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row>
    <row r="355" ht="13.5" customHeight="1">
      <c r="A355" s="28"/>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row>
    <row r="356" ht="13.5" customHeight="1">
      <c r="A356" s="28"/>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row>
    <row r="357" ht="13.5" customHeight="1">
      <c r="A357" s="28"/>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row>
    <row r="358" ht="13.5" customHeight="1">
      <c r="A358" s="28"/>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row>
    <row r="359" ht="13.5" customHeight="1">
      <c r="A359" s="28"/>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row>
    <row r="360" ht="13.5" customHeight="1">
      <c r="A360" s="28"/>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row>
    <row r="361" ht="13.5" customHeight="1">
      <c r="A361" s="28"/>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row>
    <row r="362" ht="13.5" customHeight="1">
      <c r="A362" s="28"/>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row>
    <row r="363" ht="13.5" customHeight="1">
      <c r="A363" s="28"/>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row>
    <row r="364" ht="13.5" customHeight="1">
      <c r="A364" s="28"/>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row>
    <row r="365" ht="13.5" customHeight="1">
      <c r="A365" s="28"/>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row>
    <row r="366" ht="13.5" customHeight="1">
      <c r="A366" s="28"/>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row>
    <row r="367" ht="13.5" customHeight="1">
      <c r="A367" s="28"/>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row>
    <row r="368" ht="13.5" customHeight="1">
      <c r="A368" s="28"/>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row>
    <row r="369" ht="13.5" customHeight="1">
      <c r="A369" s="28"/>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row>
    <row r="370" ht="13.5" customHeight="1">
      <c r="A370" s="28"/>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row>
    <row r="371" ht="13.5" customHeight="1">
      <c r="A371" s="28"/>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row>
    <row r="372" ht="13.5" customHeight="1">
      <c r="A372" s="28"/>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row>
    <row r="373" ht="13.5" customHeight="1">
      <c r="A373" s="28"/>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row>
    <row r="374" ht="13.5" customHeight="1">
      <c r="A374" s="28"/>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row>
    <row r="375" ht="13.5" customHeight="1">
      <c r="A375" s="28"/>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row>
    <row r="376" ht="13.5" customHeight="1">
      <c r="A376" s="28"/>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row>
    <row r="377" ht="13.5" customHeight="1">
      <c r="A377" s="28"/>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row>
    <row r="378" ht="13.5" customHeight="1">
      <c r="A378" s="28"/>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row>
    <row r="379" ht="13.5" customHeight="1">
      <c r="A379" s="28"/>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row>
    <row r="380" ht="13.5" customHeight="1">
      <c r="A380" s="28"/>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row>
    <row r="381" ht="13.5" customHeight="1">
      <c r="A381" s="28"/>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row>
    <row r="382" ht="13.5" customHeight="1">
      <c r="A382" s="28"/>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row>
    <row r="383" ht="13.5" customHeight="1">
      <c r="A383" s="28"/>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row>
    <row r="384" ht="13.5" customHeight="1">
      <c r="A384" s="28"/>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row>
    <row r="385" ht="13.5" customHeight="1">
      <c r="A385" s="28"/>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row>
    <row r="386" ht="13.5" customHeight="1">
      <c r="A386" s="28"/>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row>
    <row r="387" ht="13.5" customHeight="1">
      <c r="A387" s="28"/>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row>
    <row r="388" ht="13.5" customHeight="1">
      <c r="A388" s="28"/>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row>
    <row r="389" ht="13.5" customHeight="1">
      <c r="A389" s="28"/>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row>
    <row r="390" ht="13.5" customHeight="1">
      <c r="A390" s="28"/>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row>
    <row r="391" ht="13.5" customHeight="1">
      <c r="A391" s="28"/>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row>
    <row r="392" ht="13.5" customHeight="1">
      <c r="A392" s="28"/>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row>
    <row r="393" ht="13.5" customHeight="1">
      <c r="A393" s="28"/>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row>
    <row r="394" ht="13.5" customHeight="1">
      <c r="A394" s="28"/>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row>
    <row r="395" ht="13.5" customHeight="1">
      <c r="A395" s="28"/>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row>
    <row r="396" ht="13.5" customHeight="1">
      <c r="A396" s="28"/>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row>
    <row r="397" ht="13.5" customHeight="1">
      <c r="A397" s="28"/>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row>
    <row r="398" ht="13.5" customHeight="1">
      <c r="A398" s="28"/>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row>
    <row r="399" ht="13.5" customHeight="1">
      <c r="A399" s="28"/>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row>
    <row r="400" ht="13.5" customHeight="1">
      <c r="A400" s="28"/>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row>
    <row r="401" ht="13.5" customHeight="1">
      <c r="A401" s="28"/>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row>
    <row r="402" ht="13.5" customHeight="1">
      <c r="A402" s="28"/>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row>
    <row r="403" ht="13.5" customHeight="1">
      <c r="A403" s="28"/>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row>
    <row r="404" ht="13.5" customHeight="1">
      <c r="A404" s="28"/>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row>
    <row r="405" ht="13.5" customHeight="1">
      <c r="A405" s="28"/>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row>
    <row r="406" ht="13.5" customHeight="1">
      <c r="A406" s="28"/>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row>
    <row r="407" ht="13.5" customHeight="1">
      <c r="A407" s="28"/>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row>
    <row r="408" ht="13.5" customHeight="1">
      <c r="A408" s="28"/>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row>
    <row r="409" ht="13.5" customHeight="1">
      <c r="A409" s="28"/>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row>
    <row r="410" ht="13.5" customHeight="1">
      <c r="A410" s="28"/>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row>
    <row r="411" ht="13.5" customHeight="1">
      <c r="A411" s="28"/>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row>
    <row r="412" ht="13.5" customHeight="1">
      <c r="A412" s="28"/>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row>
    <row r="413" ht="13.5" customHeight="1">
      <c r="A413" s="28"/>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row>
    <row r="414" ht="13.5" customHeight="1">
      <c r="A414" s="28"/>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row>
    <row r="415" ht="13.5" customHeight="1">
      <c r="A415" s="28"/>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row>
    <row r="416" ht="13.5" customHeight="1">
      <c r="A416" s="28"/>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row>
    <row r="417" ht="13.5" customHeight="1">
      <c r="A417" s="28"/>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row>
    <row r="418" ht="13.5" customHeight="1">
      <c r="A418" s="28"/>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row>
    <row r="419" ht="13.5" customHeight="1">
      <c r="A419" s="28"/>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row>
    <row r="420" ht="13.5" customHeight="1">
      <c r="A420" s="28"/>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row>
    <row r="421" ht="13.5" customHeight="1">
      <c r="A421" s="28"/>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row>
    <row r="422" ht="13.5" customHeight="1">
      <c r="A422" s="28"/>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row>
    <row r="423" ht="13.5" customHeight="1">
      <c r="A423" s="28"/>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row>
    <row r="424" ht="13.5" customHeight="1">
      <c r="A424" s="28"/>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row>
    <row r="425" ht="13.5" customHeight="1">
      <c r="A425" s="28"/>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row>
    <row r="426" ht="13.5" customHeight="1">
      <c r="A426" s="28"/>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row>
    <row r="427" ht="13.5" customHeight="1">
      <c r="A427" s="28"/>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row>
    <row r="428" ht="13.5" customHeight="1">
      <c r="A428" s="28"/>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row>
    <row r="429" ht="13.5" customHeight="1">
      <c r="A429" s="28"/>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row>
    <row r="430" ht="13.5" customHeight="1">
      <c r="A430" s="28"/>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row>
    <row r="431" ht="13.5" customHeight="1">
      <c r="A431" s="28"/>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row>
    <row r="432" ht="13.5" customHeight="1">
      <c r="A432" s="28"/>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row>
    <row r="433" ht="13.5" customHeight="1">
      <c r="A433" s="28"/>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row>
    <row r="434" ht="13.5" customHeight="1">
      <c r="A434" s="28"/>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row>
    <row r="435" ht="13.5" customHeight="1">
      <c r="A435" s="28"/>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row>
    <row r="436" ht="13.5" customHeight="1">
      <c r="A436" s="28"/>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row>
    <row r="437" ht="13.5" customHeight="1">
      <c r="A437" s="28"/>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row>
    <row r="438" ht="13.5" customHeight="1">
      <c r="A438" s="28"/>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row>
    <row r="439" ht="13.5" customHeight="1">
      <c r="A439" s="28"/>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row>
    <row r="440" ht="13.5" customHeight="1">
      <c r="A440" s="28"/>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row>
    <row r="441" ht="13.5" customHeight="1">
      <c r="A441" s="28"/>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row>
    <row r="442" ht="13.5" customHeight="1">
      <c r="A442" s="28"/>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row>
    <row r="443" ht="13.5" customHeight="1">
      <c r="A443" s="28"/>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row>
    <row r="444" ht="13.5" customHeight="1">
      <c r="A444" s="28"/>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row>
    <row r="445" ht="13.5" customHeight="1">
      <c r="A445" s="28"/>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row>
    <row r="446" ht="13.5" customHeight="1">
      <c r="A446" s="28"/>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row>
    <row r="447" ht="13.5" customHeight="1">
      <c r="A447" s="28"/>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row>
    <row r="448" ht="13.5" customHeight="1">
      <c r="A448" s="28"/>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row>
    <row r="449" ht="13.5" customHeight="1">
      <c r="A449" s="28"/>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row>
    <row r="450" ht="13.5" customHeight="1">
      <c r="A450" s="28"/>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row>
    <row r="451" ht="13.5" customHeight="1">
      <c r="A451" s="28"/>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row>
    <row r="452" ht="13.5" customHeight="1">
      <c r="A452" s="28"/>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row>
    <row r="453" ht="13.5" customHeight="1">
      <c r="A453" s="28"/>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row>
    <row r="454" ht="13.5" customHeight="1">
      <c r="A454" s="28"/>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row>
    <row r="455" ht="13.5" customHeight="1">
      <c r="A455" s="28"/>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row>
    <row r="456" ht="13.5" customHeight="1">
      <c r="A456" s="28"/>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row>
    <row r="457" ht="13.5" customHeight="1">
      <c r="A457" s="28"/>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row>
    <row r="458" ht="13.5" customHeight="1">
      <c r="A458" s="28"/>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row>
    <row r="459" ht="13.5" customHeight="1">
      <c r="A459" s="28"/>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row>
    <row r="460" ht="13.5" customHeight="1">
      <c r="A460" s="28"/>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row>
    <row r="461" ht="13.5" customHeight="1">
      <c r="A461" s="28"/>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row>
    <row r="462" ht="13.5" customHeight="1">
      <c r="A462" s="28"/>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row>
    <row r="463" ht="13.5" customHeight="1">
      <c r="A463" s="28"/>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row>
    <row r="464" ht="13.5" customHeight="1">
      <c r="A464" s="28"/>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row>
    <row r="465" ht="13.5" customHeight="1">
      <c r="A465" s="28"/>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row>
    <row r="466" ht="13.5" customHeight="1">
      <c r="A466" s="28"/>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row>
    <row r="467" ht="13.5" customHeight="1">
      <c r="A467" s="28"/>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row>
    <row r="468" ht="13.5" customHeight="1">
      <c r="A468" s="28"/>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row>
    <row r="469" ht="13.5" customHeight="1">
      <c r="A469" s="28"/>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row>
    <row r="470" ht="13.5" customHeight="1">
      <c r="A470" s="28"/>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row>
    <row r="471" ht="13.5" customHeight="1">
      <c r="A471" s="28"/>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row>
    <row r="472" ht="13.5" customHeight="1">
      <c r="A472" s="28"/>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row>
    <row r="473" ht="13.5" customHeight="1">
      <c r="A473" s="28"/>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row>
    <row r="474" ht="13.5" customHeight="1">
      <c r="A474" s="28"/>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row>
    <row r="475" ht="13.5" customHeight="1">
      <c r="A475" s="28"/>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row>
    <row r="476" ht="13.5" customHeight="1">
      <c r="A476" s="28"/>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row>
    <row r="477" ht="13.5" customHeight="1">
      <c r="A477" s="28"/>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row>
    <row r="478" ht="13.5" customHeight="1">
      <c r="A478" s="28"/>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row>
    <row r="479" ht="13.5" customHeight="1">
      <c r="A479" s="28"/>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row>
    <row r="480" ht="13.5" customHeight="1">
      <c r="A480" s="28"/>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row>
    <row r="481" ht="13.5" customHeight="1">
      <c r="A481" s="28"/>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row>
    <row r="482" ht="13.5" customHeight="1">
      <c r="A482" s="28"/>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row>
    <row r="483" ht="13.5" customHeight="1">
      <c r="A483" s="28"/>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row>
    <row r="484" ht="13.5" customHeight="1">
      <c r="A484" s="28"/>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row>
    <row r="485" ht="13.5" customHeight="1">
      <c r="A485" s="28"/>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row>
    <row r="486" ht="13.5" customHeight="1">
      <c r="A486" s="28"/>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row>
    <row r="487" ht="13.5" customHeight="1">
      <c r="A487" s="28"/>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row>
    <row r="488" ht="13.5" customHeight="1">
      <c r="A488" s="28"/>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row>
    <row r="489" ht="13.5" customHeight="1">
      <c r="A489" s="28"/>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row>
    <row r="490" ht="13.5" customHeight="1">
      <c r="A490" s="28"/>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row>
    <row r="491" ht="13.5" customHeight="1">
      <c r="A491" s="28"/>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row>
    <row r="492" ht="13.5" customHeight="1">
      <c r="A492" s="28"/>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row>
    <row r="493" ht="13.5" customHeight="1">
      <c r="A493" s="28"/>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row>
    <row r="494" ht="13.5" customHeight="1">
      <c r="A494" s="28"/>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row>
    <row r="495" ht="13.5" customHeight="1">
      <c r="A495" s="28"/>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row>
    <row r="496" ht="13.5" customHeight="1">
      <c r="A496" s="28"/>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row>
    <row r="497" ht="13.5" customHeight="1">
      <c r="A497" s="28"/>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row>
    <row r="498" ht="13.5" customHeight="1">
      <c r="A498" s="28"/>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row>
    <row r="499" ht="13.5" customHeight="1">
      <c r="A499" s="28"/>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row>
    <row r="500" ht="13.5" customHeight="1">
      <c r="A500" s="28"/>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row>
    <row r="501" ht="13.5" customHeight="1">
      <c r="A501" s="28"/>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row>
    <row r="502" ht="13.5" customHeight="1">
      <c r="A502" s="28"/>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row>
    <row r="503" ht="13.5" customHeight="1">
      <c r="A503" s="28"/>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row>
    <row r="504" ht="13.5" customHeight="1">
      <c r="A504" s="28"/>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row>
    <row r="505" ht="13.5" customHeight="1">
      <c r="A505" s="28"/>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row>
    <row r="506" ht="13.5" customHeight="1">
      <c r="A506" s="28"/>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row>
    <row r="507" ht="13.5" customHeight="1">
      <c r="A507" s="28"/>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row>
    <row r="508" ht="13.5" customHeight="1">
      <c r="A508" s="28"/>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row>
    <row r="509" ht="13.5" customHeight="1">
      <c r="A509" s="28"/>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row>
    <row r="510" ht="13.5" customHeight="1">
      <c r="A510" s="28"/>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row>
    <row r="511" ht="13.5" customHeight="1">
      <c r="A511" s="28"/>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row>
    <row r="512" ht="13.5" customHeight="1">
      <c r="A512" s="28"/>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row>
    <row r="513" ht="13.5" customHeight="1">
      <c r="A513" s="28"/>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row>
    <row r="514" ht="13.5" customHeight="1">
      <c r="A514" s="28"/>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row>
    <row r="515" ht="13.5" customHeight="1">
      <c r="A515" s="28"/>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row>
    <row r="516" ht="13.5" customHeight="1">
      <c r="A516" s="28"/>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row>
    <row r="517" ht="13.5" customHeight="1">
      <c r="A517" s="28"/>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row>
    <row r="518" ht="13.5" customHeight="1">
      <c r="A518" s="28"/>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row>
    <row r="519" ht="13.5" customHeight="1">
      <c r="A519" s="28"/>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row>
    <row r="520" ht="13.5" customHeight="1">
      <c r="A520" s="28"/>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row>
    <row r="521" ht="13.5" customHeight="1">
      <c r="A521" s="28"/>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row>
    <row r="522" ht="13.5" customHeight="1">
      <c r="A522" s="28"/>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row>
    <row r="523" ht="13.5" customHeight="1">
      <c r="A523" s="28"/>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row>
    <row r="524" ht="13.5" customHeight="1">
      <c r="A524" s="28"/>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row>
    <row r="525" ht="13.5" customHeight="1">
      <c r="A525" s="28"/>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row>
    <row r="526" ht="13.5" customHeight="1">
      <c r="A526" s="28"/>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row>
    <row r="527" ht="13.5" customHeight="1">
      <c r="A527" s="28"/>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row>
    <row r="528" ht="13.5" customHeight="1">
      <c r="A528" s="28"/>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row>
    <row r="529" ht="13.5" customHeight="1">
      <c r="A529" s="28"/>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row>
    <row r="530" ht="13.5" customHeight="1">
      <c r="A530" s="28"/>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row>
    <row r="531" ht="13.5" customHeight="1">
      <c r="A531" s="28"/>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row>
    <row r="532" ht="13.5" customHeight="1">
      <c r="A532" s="28"/>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row>
    <row r="533" ht="13.5" customHeight="1">
      <c r="A533" s="28"/>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row>
    <row r="534" ht="13.5" customHeight="1">
      <c r="A534" s="28"/>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row>
    <row r="535" ht="13.5" customHeight="1">
      <c r="A535" s="28"/>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row>
    <row r="536" ht="13.5" customHeight="1">
      <c r="A536" s="28"/>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row>
    <row r="537" ht="13.5" customHeight="1">
      <c r="A537" s="28"/>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row>
    <row r="538" ht="13.5" customHeight="1">
      <c r="A538" s="28"/>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row>
    <row r="539" ht="13.5" customHeight="1">
      <c r="A539" s="28"/>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row>
    <row r="540" ht="13.5" customHeight="1">
      <c r="A540" s="28"/>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row>
    <row r="541" ht="13.5" customHeight="1">
      <c r="A541" s="28"/>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row>
    <row r="542" ht="13.5" customHeight="1">
      <c r="A542" s="28"/>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row>
    <row r="543" ht="13.5" customHeight="1">
      <c r="A543" s="28"/>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row>
    <row r="544" ht="13.5" customHeight="1">
      <c r="A544" s="28"/>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row>
    <row r="545" ht="13.5" customHeight="1">
      <c r="A545" s="28"/>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row>
    <row r="546" ht="13.5" customHeight="1">
      <c r="A546" s="28"/>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row>
    <row r="547" ht="13.5" customHeight="1">
      <c r="A547" s="28"/>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row>
    <row r="548" ht="13.5" customHeight="1">
      <c r="A548" s="28"/>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row>
    <row r="549" ht="13.5" customHeight="1">
      <c r="A549" s="28"/>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row>
    <row r="550" ht="13.5" customHeight="1">
      <c r="A550" s="28"/>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row>
    <row r="551" ht="13.5" customHeight="1">
      <c r="A551" s="28"/>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row>
    <row r="552" ht="13.5" customHeight="1">
      <c r="A552" s="28"/>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row>
    <row r="553" ht="13.5" customHeight="1">
      <c r="A553" s="28"/>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row>
    <row r="554" ht="13.5" customHeight="1">
      <c r="A554" s="28"/>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row>
    <row r="555" ht="13.5" customHeight="1">
      <c r="A555" s="28"/>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row>
    <row r="556" ht="13.5" customHeight="1">
      <c r="A556" s="28"/>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row>
    <row r="557" ht="13.5" customHeight="1">
      <c r="A557" s="28"/>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row>
    <row r="558" ht="13.5" customHeight="1">
      <c r="A558" s="28"/>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row>
    <row r="559" ht="13.5" customHeight="1">
      <c r="A559" s="28"/>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row>
    <row r="560" ht="13.5" customHeight="1">
      <c r="A560" s="28"/>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row>
    <row r="561" ht="13.5" customHeight="1">
      <c r="A561" s="28"/>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row>
    <row r="562" ht="13.5" customHeight="1">
      <c r="A562" s="28"/>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row>
    <row r="563" ht="13.5" customHeight="1">
      <c r="A563" s="28"/>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row>
    <row r="564" ht="13.5" customHeight="1">
      <c r="A564" s="28"/>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row>
    <row r="565" ht="13.5" customHeight="1">
      <c r="A565" s="28"/>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row>
    <row r="566" ht="13.5" customHeight="1">
      <c r="A566" s="28"/>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row>
    <row r="567" ht="13.5" customHeight="1">
      <c r="A567" s="28"/>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row>
    <row r="568" ht="13.5" customHeight="1">
      <c r="A568" s="28"/>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row>
    <row r="569" ht="13.5" customHeight="1">
      <c r="A569" s="28"/>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row>
    <row r="570" ht="13.5" customHeight="1">
      <c r="A570" s="28"/>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row>
    <row r="571" ht="13.5" customHeight="1">
      <c r="A571" s="28"/>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row>
    <row r="572" ht="13.5" customHeight="1">
      <c r="A572" s="28"/>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row>
    <row r="573" ht="13.5" customHeight="1">
      <c r="A573" s="28"/>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row>
    <row r="574" ht="13.5" customHeight="1">
      <c r="A574" s="28"/>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row>
    <row r="575" ht="13.5" customHeight="1">
      <c r="A575" s="28"/>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row>
    <row r="576" ht="13.5" customHeight="1">
      <c r="A576" s="28"/>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row>
    <row r="577" ht="13.5" customHeight="1">
      <c r="A577" s="28"/>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row>
    <row r="578" ht="13.5" customHeight="1">
      <c r="A578" s="28"/>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row>
    <row r="579" ht="13.5" customHeight="1">
      <c r="A579" s="28"/>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row>
    <row r="580" ht="13.5" customHeight="1">
      <c r="A580" s="28"/>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row>
    <row r="581" ht="13.5" customHeight="1">
      <c r="A581" s="28"/>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row>
    <row r="582" ht="13.5" customHeight="1">
      <c r="A582" s="28"/>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row>
    <row r="583" ht="13.5" customHeight="1">
      <c r="A583" s="28"/>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row>
    <row r="584" ht="13.5" customHeight="1">
      <c r="A584" s="28"/>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row>
    <row r="585" ht="13.5" customHeight="1">
      <c r="A585" s="28"/>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row>
    <row r="586" ht="13.5" customHeight="1">
      <c r="A586" s="28"/>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row>
    <row r="587" ht="13.5" customHeight="1">
      <c r="A587" s="28"/>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row>
    <row r="588" ht="13.5" customHeight="1">
      <c r="A588" s="28"/>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row>
    <row r="589" ht="13.5" customHeight="1">
      <c r="A589" s="28"/>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row>
    <row r="590" ht="13.5" customHeight="1">
      <c r="A590" s="28"/>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row>
    <row r="591" ht="13.5" customHeight="1">
      <c r="A591" s="28"/>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row>
    <row r="592" ht="13.5" customHeight="1">
      <c r="A592" s="28"/>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row>
    <row r="593" ht="13.5" customHeight="1">
      <c r="A593" s="28"/>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row>
    <row r="594" ht="13.5" customHeight="1">
      <c r="A594" s="28"/>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row>
    <row r="595" ht="13.5" customHeight="1">
      <c r="A595" s="28"/>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row>
    <row r="596" ht="13.5" customHeight="1">
      <c r="A596" s="28"/>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row>
    <row r="597" ht="13.5" customHeight="1">
      <c r="A597" s="28"/>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row>
    <row r="598" ht="13.5" customHeight="1">
      <c r="A598" s="28"/>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row>
    <row r="599" ht="13.5" customHeight="1">
      <c r="A599" s="28"/>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row>
    <row r="600" ht="13.5" customHeight="1">
      <c r="A600" s="28"/>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row>
    <row r="601" ht="13.5" customHeight="1">
      <c r="A601" s="28"/>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row>
    <row r="602" ht="13.5" customHeight="1">
      <c r="A602" s="28"/>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row>
    <row r="603" ht="13.5" customHeight="1">
      <c r="A603" s="28"/>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row>
    <row r="604" ht="13.5" customHeight="1">
      <c r="A604" s="28"/>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row>
    <row r="605" ht="13.5" customHeight="1">
      <c r="A605" s="28"/>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row>
    <row r="606" ht="13.5" customHeight="1">
      <c r="A606" s="28"/>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row>
    <row r="607" ht="13.5" customHeight="1">
      <c r="A607" s="28"/>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row>
    <row r="608" ht="13.5" customHeight="1">
      <c r="A608" s="28"/>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row>
    <row r="609" ht="13.5" customHeight="1">
      <c r="A609" s="28"/>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row>
    <row r="610" ht="13.5" customHeight="1">
      <c r="A610" s="28"/>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row>
    <row r="611" ht="13.5" customHeight="1">
      <c r="A611" s="28"/>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row>
    <row r="612" ht="13.5" customHeight="1">
      <c r="A612" s="28"/>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row>
    <row r="613" ht="13.5" customHeight="1">
      <c r="A613" s="28"/>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row>
    <row r="614" ht="13.5" customHeight="1">
      <c r="A614" s="28"/>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row>
    <row r="615" ht="13.5" customHeight="1">
      <c r="A615" s="28"/>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row>
    <row r="616" ht="13.5" customHeight="1">
      <c r="A616" s="28"/>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row>
    <row r="617" ht="13.5" customHeight="1">
      <c r="A617" s="28"/>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row>
    <row r="618" ht="13.5" customHeight="1">
      <c r="A618" s="28"/>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row>
    <row r="619" ht="13.5" customHeight="1">
      <c r="A619" s="28"/>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row>
    <row r="620" ht="13.5" customHeight="1">
      <c r="A620" s="28"/>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row>
    <row r="621" ht="13.5" customHeight="1">
      <c r="A621" s="28"/>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row>
    <row r="622" ht="13.5" customHeight="1">
      <c r="A622" s="28"/>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row>
    <row r="623" ht="13.5" customHeight="1">
      <c r="A623" s="28"/>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row>
    <row r="624" ht="13.5" customHeight="1">
      <c r="A624" s="28"/>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row>
    <row r="625" ht="13.5" customHeight="1">
      <c r="A625" s="28"/>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row>
    <row r="626" ht="13.5" customHeight="1">
      <c r="A626" s="28"/>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row>
    <row r="627" ht="13.5" customHeight="1">
      <c r="A627" s="28"/>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row>
    <row r="628" ht="13.5" customHeight="1">
      <c r="A628" s="28"/>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row>
    <row r="629" ht="13.5" customHeight="1">
      <c r="A629" s="28"/>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row>
    <row r="630" ht="13.5" customHeight="1">
      <c r="A630" s="28"/>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row>
    <row r="631" ht="13.5" customHeight="1">
      <c r="A631" s="28"/>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row>
    <row r="632" ht="13.5" customHeight="1">
      <c r="A632" s="28"/>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row>
    <row r="633" ht="13.5" customHeight="1">
      <c r="A633" s="28"/>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row>
    <row r="634" ht="13.5" customHeight="1">
      <c r="A634" s="28"/>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row>
    <row r="635" ht="13.5" customHeight="1">
      <c r="A635" s="28"/>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row>
    <row r="636" ht="13.5" customHeight="1">
      <c r="A636" s="28"/>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row>
    <row r="637" ht="13.5" customHeight="1">
      <c r="A637" s="28"/>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row>
    <row r="638" ht="13.5" customHeight="1">
      <c r="A638" s="28"/>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row>
    <row r="639" ht="13.5" customHeight="1">
      <c r="A639" s="28"/>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row>
    <row r="640" ht="13.5" customHeight="1">
      <c r="A640" s="28"/>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row>
    <row r="641" ht="13.5" customHeight="1">
      <c r="A641" s="28"/>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row>
    <row r="642" ht="13.5" customHeight="1">
      <c r="A642" s="28"/>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row>
    <row r="643" ht="13.5" customHeight="1">
      <c r="A643" s="28"/>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row>
    <row r="644" ht="13.5" customHeight="1">
      <c r="A644" s="28"/>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row>
    <row r="645" ht="13.5" customHeight="1">
      <c r="A645" s="28"/>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row>
    <row r="646" ht="13.5" customHeight="1">
      <c r="A646" s="28"/>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row>
    <row r="647" ht="13.5" customHeight="1">
      <c r="A647" s="28"/>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row>
    <row r="648" ht="13.5" customHeight="1">
      <c r="A648" s="28"/>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row>
    <row r="649" ht="13.5" customHeight="1">
      <c r="A649" s="28"/>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row>
    <row r="650" ht="13.5" customHeight="1">
      <c r="A650" s="28"/>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row>
    <row r="651" ht="13.5" customHeight="1">
      <c r="A651" s="28"/>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row>
    <row r="652" ht="13.5" customHeight="1">
      <c r="A652" s="28"/>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row>
    <row r="653" ht="13.5" customHeight="1">
      <c r="A653" s="28"/>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row>
    <row r="654" ht="13.5" customHeight="1">
      <c r="A654" s="28"/>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row>
    <row r="655" ht="13.5" customHeight="1">
      <c r="A655" s="28"/>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row>
    <row r="656" ht="13.5" customHeight="1">
      <c r="A656" s="28"/>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row>
    <row r="657" ht="13.5" customHeight="1">
      <c r="A657" s="28"/>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row>
    <row r="658" ht="13.5" customHeight="1">
      <c r="A658" s="28"/>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row>
    <row r="659" ht="13.5" customHeight="1">
      <c r="A659" s="28"/>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row>
    <row r="660" ht="13.5" customHeight="1">
      <c r="A660" s="28"/>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row>
    <row r="661" ht="13.5" customHeight="1">
      <c r="A661" s="28"/>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row>
    <row r="662" ht="13.5" customHeight="1">
      <c r="A662" s="28"/>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row>
    <row r="663" ht="13.5" customHeight="1">
      <c r="A663" s="28"/>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row>
    <row r="664" ht="13.5" customHeight="1">
      <c r="A664" s="28"/>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row>
    <row r="665" ht="13.5" customHeight="1">
      <c r="A665" s="28"/>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row>
    <row r="666" ht="13.5" customHeight="1">
      <c r="A666" s="28"/>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row>
    <row r="667" ht="13.5" customHeight="1">
      <c r="A667" s="28"/>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row>
    <row r="668" ht="13.5" customHeight="1">
      <c r="A668" s="28"/>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row>
    <row r="669" ht="13.5" customHeight="1">
      <c r="A669" s="28"/>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row>
    <row r="670" ht="13.5" customHeight="1">
      <c r="A670" s="28"/>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row>
    <row r="671" ht="13.5" customHeight="1">
      <c r="A671" s="28"/>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row>
    <row r="672" ht="13.5" customHeight="1">
      <c r="A672" s="28"/>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row>
    <row r="673" ht="13.5" customHeight="1">
      <c r="A673" s="28"/>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row>
    <row r="674" ht="13.5" customHeight="1">
      <c r="A674" s="28"/>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row>
    <row r="675" ht="13.5" customHeight="1">
      <c r="A675" s="28"/>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row>
    <row r="676" ht="13.5" customHeight="1">
      <c r="A676" s="28"/>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row>
    <row r="677" ht="13.5" customHeight="1">
      <c r="A677" s="28"/>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row>
    <row r="678" ht="13.5" customHeight="1">
      <c r="A678" s="28"/>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row>
    <row r="679" ht="13.5" customHeight="1">
      <c r="A679" s="28"/>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row>
    <row r="680" ht="13.5" customHeight="1">
      <c r="A680" s="28"/>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row>
    <row r="681" ht="13.5" customHeight="1">
      <c r="A681" s="28"/>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row>
    <row r="682" ht="13.5" customHeight="1">
      <c r="A682" s="28"/>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row>
    <row r="683" ht="13.5" customHeight="1">
      <c r="A683" s="28"/>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row>
    <row r="684" ht="13.5" customHeight="1">
      <c r="A684" s="28"/>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row>
    <row r="685" ht="13.5" customHeight="1">
      <c r="A685" s="28"/>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row>
    <row r="686" ht="13.5" customHeight="1">
      <c r="A686" s="28"/>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row>
    <row r="687" ht="13.5" customHeight="1">
      <c r="A687" s="28"/>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row>
    <row r="688" ht="13.5" customHeight="1">
      <c r="A688" s="28"/>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row>
    <row r="689" ht="13.5" customHeight="1">
      <c r="A689" s="28"/>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row>
    <row r="690" ht="13.5" customHeight="1">
      <c r="A690" s="28"/>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row>
    <row r="691" ht="13.5" customHeight="1">
      <c r="A691" s="28"/>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row>
    <row r="692" ht="13.5" customHeight="1">
      <c r="A692" s="28"/>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row>
    <row r="693" ht="13.5" customHeight="1">
      <c r="A693" s="28"/>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row>
    <row r="694" ht="13.5" customHeight="1">
      <c r="A694" s="28"/>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row>
    <row r="695" ht="13.5" customHeight="1">
      <c r="A695" s="28"/>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row>
    <row r="696" ht="13.5" customHeight="1">
      <c r="A696" s="28"/>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row>
    <row r="697" ht="13.5" customHeight="1">
      <c r="A697" s="28"/>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row>
    <row r="698" ht="13.5" customHeight="1">
      <c r="A698" s="28"/>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row>
    <row r="699" ht="13.5" customHeight="1">
      <c r="A699" s="28"/>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row>
    <row r="700" ht="13.5" customHeight="1">
      <c r="A700" s="28"/>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row>
    <row r="701" ht="13.5" customHeight="1">
      <c r="A701" s="28"/>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row>
    <row r="702" ht="13.5" customHeight="1">
      <c r="A702" s="28"/>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row>
    <row r="703" ht="13.5" customHeight="1">
      <c r="A703" s="28"/>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row>
    <row r="704" ht="13.5" customHeight="1">
      <c r="A704" s="28"/>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row>
    <row r="705" ht="13.5" customHeight="1">
      <c r="A705" s="28"/>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row>
    <row r="706" ht="13.5" customHeight="1">
      <c r="A706" s="28"/>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row>
    <row r="707" ht="13.5" customHeight="1">
      <c r="A707" s="28"/>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row>
    <row r="708" ht="13.5" customHeight="1">
      <c r="A708" s="28"/>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row>
    <row r="709" ht="13.5" customHeight="1">
      <c r="A709" s="28"/>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row>
    <row r="710" ht="13.5" customHeight="1">
      <c r="A710" s="28"/>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row>
    <row r="711" ht="13.5" customHeight="1">
      <c r="A711" s="28"/>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row>
    <row r="712" ht="13.5" customHeight="1">
      <c r="A712" s="28"/>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row>
    <row r="713" ht="13.5" customHeight="1">
      <c r="A713" s="28"/>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row>
    <row r="714" ht="13.5" customHeight="1">
      <c r="A714" s="28"/>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row>
    <row r="715" ht="13.5" customHeight="1">
      <c r="A715" s="28"/>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row>
    <row r="716" ht="13.5" customHeight="1">
      <c r="A716" s="28"/>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row>
    <row r="717" ht="13.5" customHeight="1">
      <c r="A717" s="28"/>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row>
    <row r="718" ht="13.5" customHeight="1">
      <c r="A718" s="28"/>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row>
    <row r="719" ht="13.5" customHeight="1">
      <c r="A719" s="28"/>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row>
    <row r="720" ht="13.5" customHeight="1">
      <c r="A720" s="28"/>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row>
    <row r="721" ht="13.5" customHeight="1">
      <c r="A721" s="28"/>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row>
    <row r="722" ht="13.5" customHeight="1">
      <c r="A722" s="28"/>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row>
    <row r="723" ht="13.5" customHeight="1">
      <c r="A723" s="28"/>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row>
    <row r="724" ht="13.5" customHeight="1">
      <c r="A724" s="28"/>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row>
    <row r="725" ht="13.5" customHeight="1">
      <c r="A725" s="28"/>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row>
    <row r="726" ht="13.5" customHeight="1">
      <c r="A726" s="28"/>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row>
    <row r="727" ht="13.5" customHeight="1">
      <c r="A727" s="28"/>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row>
    <row r="728" ht="13.5" customHeight="1">
      <c r="A728" s="28"/>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row>
    <row r="729" ht="13.5" customHeight="1">
      <c r="A729" s="28"/>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row>
    <row r="730" ht="13.5" customHeight="1">
      <c r="A730" s="28"/>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row>
    <row r="731" ht="13.5" customHeight="1">
      <c r="A731" s="28"/>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row>
    <row r="732" ht="13.5" customHeight="1">
      <c r="A732" s="28"/>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row>
    <row r="733" ht="13.5" customHeight="1">
      <c r="A733" s="28"/>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row>
    <row r="734" ht="13.5" customHeight="1">
      <c r="A734" s="28"/>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row>
    <row r="735" ht="13.5" customHeight="1">
      <c r="A735" s="28"/>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row>
    <row r="736" ht="13.5" customHeight="1">
      <c r="A736" s="28"/>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row>
    <row r="737" ht="13.5" customHeight="1">
      <c r="A737" s="28"/>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row>
    <row r="738" ht="13.5" customHeight="1">
      <c r="A738" s="28"/>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row>
    <row r="739" ht="13.5" customHeight="1">
      <c r="A739" s="28"/>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row>
    <row r="740" ht="13.5" customHeight="1">
      <c r="A740" s="28"/>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row>
    <row r="741" ht="13.5" customHeight="1">
      <c r="A741" s="28"/>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row>
    <row r="742" ht="13.5" customHeight="1">
      <c r="A742" s="28"/>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row>
    <row r="743" ht="13.5" customHeight="1">
      <c r="A743" s="28"/>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row>
    <row r="744" ht="13.5" customHeight="1">
      <c r="A744" s="28"/>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row>
    <row r="745" ht="13.5" customHeight="1">
      <c r="A745" s="28"/>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row>
    <row r="746" ht="13.5" customHeight="1">
      <c r="A746" s="28"/>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row>
    <row r="747" ht="13.5" customHeight="1">
      <c r="A747" s="28"/>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row>
    <row r="748" ht="13.5" customHeight="1">
      <c r="A748" s="28"/>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row>
    <row r="749" ht="13.5" customHeight="1">
      <c r="A749" s="28"/>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row>
    <row r="750" ht="13.5" customHeight="1">
      <c r="A750" s="28"/>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row>
    <row r="751" ht="13.5" customHeight="1">
      <c r="A751" s="28"/>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row>
    <row r="752" ht="13.5" customHeight="1">
      <c r="A752" s="28"/>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row>
    <row r="753" ht="13.5" customHeight="1">
      <c r="A753" s="28"/>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row>
    <row r="754" ht="13.5" customHeight="1">
      <c r="A754" s="28"/>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row>
    <row r="755" ht="13.5" customHeight="1">
      <c r="A755" s="28"/>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row>
    <row r="756" ht="13.5" customHeight="1">
      <c r="A756" s="28"/>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row>
    <row r="757" ht="13.5" customHeight="1">
      <c r="A757" s="28"/>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row>
    <row r="758" ht="13.5" customHeight="1">
      <c r="A758" s="28"/>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row>
    <row r="759" ht="13.5" customHeight="1">
      <c r="A759" s="28"/>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row>
    <row r="760" ht="13.5" customHeight="1">
      <c r="A760" s="28"/>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row>
    <row r="761" ht="13.5" customHeight="1">
      <c r="A761" s="28"/>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row>
    <row r="762" ht="13.5" customHeight="1">
      <c r="A762" s="28"/>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row>
    <row r="763" ht="13.5" customHeight="1">
      <c r="A763" s="28"/>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row>
    <row r="764" ht="13.5" customHeight="1">
      <c r="A764" s="28"/>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row>
    <row r="765" ht="13.5" customHeight="1">
      <c r="A765" s="28"/>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row>
    <row r="766" ht="13.5" customHeight="1">
      <c r="A766" s="28"/>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row>
    <row r="767" ht="13.5" customHeight="1">
      <c r="A767" s="28"/>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row>
    <row r="768" ht="13.5" customHeight="1">
      <c r="A768" s="28"/>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row>
    <row r="769" ht="13.5" customHeight="1">
      <c r="A769" s="28"/>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row>
    <row r="770" ht="13.5" customHeight="1">
      <c r="A770" s="28"/>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row>
    <row r="771" ht="13.5" customHeight="1">
      <c r="A771" s="28"/>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row>
    <row r="772" ht="13.5" customHeight="1">
      <c r="A772" s="28"/>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row>
    <row r="773" ht="13.5" customHeight="1">
      <c r="A773" s="28"/>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row>
    <row r="774" ht="13.5" customHeight="1">
      <c r="A774" s="28"/>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row>
    <row r="775" ht="13.5" customHeight="1">
      <c r="A775" s="28"/>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row>
    <row r="776" ht="13.5" customHeight="1">
      <c r="A776" s="28"/>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row>
    <row r="777" ht="13.5" customHeight="1">
      <c r="A777" s="28"/>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row>
    <row r="778" ht="13.5" customHeight="1">
      <c r="A778" s="28"/>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row>
    <row r="779" ht="13.5" customHeight="1">
      <c r="A779" s="28"/>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row>
    <row r="780" ht="13.5" customHeight="1">
      <c r="A780" s="28"/>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row>
    <row r="781" ht="13.5" customHeight="1">
      <c r="A781" s="28"/>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row>
    <row r="782" ht="13.5" customHeight="1">
      <c r="A782" s="28"/>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row>
    <row r="783" ht="13.5" customHeight="1">
      <c r="A783" s="28"/>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row>
    <row r="784" ht="13.5" customHeight="1">
      <c r="A784" s="28"/>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row>
    <row r="785" ht="13.5" customHeight="1">
      <c r="A785" s="28"/>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row>
    <row r="786" ht="13.5" customHeight="1">
      <c r="A786" s="28"/>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row>
    <row r="787" ht="13.5" customHeight="1">
      <c r="A787" s="28"/>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row>
    <row r="788" ht="13.5" customHeight="1">
      <c r="A788" s="28"/>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row>
    <row r="789" ht="13.5" customHeight="1">
      <c r="A789" s="28"/>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row>
    <row r="790" ht="13.5" customHeight="1">
      <c r="A790" s="28"/>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row>
    <row r="791" ht="13.5" customHeight="1">
      <c r="A791" s="28"/>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row>
    <row r="792" ht="13.5" customHeight="1">
      <c r="A792" s="28"/>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row>
    <row r="793" ht="13.5" customHeight="1">
      <c r="A793" s="28"/>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row>
    <row r="794" ht="13.5" customHeight="1">
      <c r="A794" s="28"/>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row>
    <row r="795" ht="13.5" customHeight="1">
      <c r="A795" s="28"/>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row>
    <row r="796" ht="13.5" customHeight="1">
      <c r="A796" s="28"/>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row>
    <row r="797" ht="13.5" customHeight="1">
      <c r="A797" s="28"/>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row>
    <row r="798" ht="13.5" customHeight="1">
      <c r="A798" s="28"/>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row>
    <row r="799" ht="13.5" customHeight="1">
      <c r="A799" s="28"/>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row>
    <row r="800" ht="13.5" customHeight="1">
      <c r="A800" s="28"/>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row>
    <row r="801" ht="13.5" customHeight="1">
      <c r="A801" s="28"/>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row>
    <row r="802" ht="13.5" customHeight="1">
      <c r="A802" s="28"/>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row>
    <row r="803" ht="13.5" customHeight="1">
      <c r="A803" s="28"/>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row>
    <row r="804" ht="13.5" customHeight="1">
      <c r="A804" s="28"/>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row>
    <row r="805" ht="13.5" customHeight="1">
      <c r="A805" s="28"/>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row>
    <row r="806" ht="13.5" customHeight="1">
      <c r="A806" s="28"/>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row>
    <row r="807" ht="13.5" customHeight="1">
      <c r="A807" s="28"/>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row>
    <row r="808" ht="13.5" customHeight="1">
      <c r="A808" s="28"/>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row>
    <row r="809" ht="13.5" customHeight="1">
      <c r="A809" s="28"/>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row>
    <row r="810" ht="13.5" customHeight="1">
      <c r="A810" s="28"/>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row>
    <row r="811" ht="13.5" customHeight="1">
      <c r="A811" s="28"/>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row>
    <row r="812" ht="13.5" customHeight="1">
      <c r="A812" s="28"/>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row>
    <row r="813" ht="13.5" customHeight="1">
      <c r="A813" s="28"/>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row>
    <row r="814" ht="13.5" customHeight="1">
      <c r="A814" s="28"/>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row>
    <row r="815" ht="13.5" customHeight="1">
      <c r="A815" s="28"/>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row>
    <row r="816" ht="13.5" customHeight="1">
      <c r="A816" s="28"/>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row>
    <row r="817" ht="13.5" customHeight="1">
      <c r="A817" s="28"/>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row>
    <row r="818" ht="13.5" customHeight="1">
      <c r="A818" s="28"/>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row>
    <row r="819" ht="13.5" customHeight="1">
      <c r="A819" s="28"/>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row>
    <row r="820" ht="13.5" customHeight="1">
      <c r="A820" s="28"/>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row>
    <row r="821" ht="13.5" customHeight="1">
      <c r="A821" s="28"/>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row>
    <row r="822" ht="13.5" customHeight="1">
      <c r="A822" s="28"/>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row>
    <row r="823" ht="13.5" customHeight="1">
      <c r="A823" s="28"/>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row>
    <row r="824" ht="13.5" customHeight="1">
      <c r="A824" s="28"/>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row>
    <row r="825" ht="13.5" customHeight="1">
      <c r="A825" s="28"/>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row>
    <row r="826" ht="13.5" customHeight="1">
      <c r="A826" s="28"/>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row>
    <row r="827" ht="13.5" customHeight="1">
      <c r="A827" s="28"/>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row>
    <row r="828" ht="13.5" customHeight="1">
      <c r="A828" s="28"/>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row>
    <row r="829" ht="13.5" customHeight="1">
      <c r="A829" s="28"/>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row>
    <row r="830" ht="13.5" customHeight="1">
      <c r="A830" s="28"/>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row>
    <row r="831" ht="13.5" customHeight="1">
      <c r="A831" s="28"/>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row>
    <row r="832" ht="13.5" customHeight="1">
      <c r="A832" s="28"/>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row>
    <row r="833" ht="13.5" customHeight="1">
      <c r="A833" s="28"/>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row>
    <row r="834" ht="13.5" customHeight="1">
      <c r="A834" s="28"/>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row>
    <row r="835" ht="13.5" customHeight="1">
      <c r="A835" s="28"/>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row>
    <row r="836" ht="13.5" customHeight="1">
      <c r="A836" s="28"/>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row>
    <row r="837" ht="13.5" customHeight="1">
      <c r="A837" s="28"/>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row>
    <row r="838" ht="13.5" customHeight="1">
      <c r="A838" s="28"/>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row>
    <row r="839" ht="13.5" customHeight="1">
      <c r="A839" s="28"/>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row>
    <row r="840" ht="13.5" customHeight="1">
      <c r="A840" s="28"/>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row>
    <row r="841" ht="13.5" customHeight="1">
      <c r="A841" s="28"/>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row>
    <row r="842" ht="13.5" customHeight="1">
      <c r="A842" s="28"/>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row>
    <row r="843" ht="13.5" customHeight="1">
      <c r="A843" s="28"/>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row>
    <row r="844" ht="13.5" customHeight="1">
      <c r="A844" s="28"/>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row>
    <row r="845" ht="13.5" customHeight="1">
      <c r="A845" s="28"/>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row>
    <row r="846" ht="13.5" customHeight="1">
      <c r="A846" s="28"/>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row>
    <row r="847" ht="13.5" customHeight="1">
      <c r="A847" s="28"/>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row>
    <row r="848" ht="13.5" customHeight="1">
      <c r="A848" s="28"/>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row>
    <row r="849" ht="13.5" customHeight="1">
      <c r="A849" s="28"/>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row>
    <row r="850" ht="13.5" customHeight="1">
      <c r="A850" s="28"/>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row>
    <row r="851" ht="13.5" customHeight="1">
      <c r="A851" s="28"/>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row>
    <row r="852" ht="13.5" customHeight="1">
      <c r="A852" s="28"/>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row>
    <row r="853" ht="13.5" customHeight="1">
      <c r="A853" s="28"/>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row>
    <row r="854" ht="13.5" customHeight="1">
      <c r="A854" s="28"/>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row>
    <row r="855" ht="13.5" customHeight="1">
      <c r="A855" s="28"/>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row>
    <row r="856" ht="13.5" customHeight="1">
      <c r="A856" s="28"/>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row>
    <row r="857" ht="13.5" customHeight="1">
      <c r="A857" s="28"/>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row>
    <row r="858" ht="13.5" customHeight="1">
      <c r="A858" s="28"/>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row>
    <row r="859" ht="13.5" customHeight="1">
      <c r="A859" s="28"/>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row>
    <row r="860" ht="13.5" customHeight="1">
      <c r="A860" s="28"/>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row>
    <row r="861" ht="13.5" customHeight="1">
      <c r="A861" s="28"/>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row>
    <row r="862" ht="13.5" customHeight="1">
      <c r="A862" s="28"/>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row>
    <row r="863" ht="13.5" customHeight="1">
      <c r="A863" s="28"/>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row>
    <row r="864" ht="13.5" customHeight="1">
      <c r="A864" s="28"/>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row>
    <row r="865" ht="13.5" customHeight="1">
      <c r="A865" s="28"/>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row>
    <row r="866" ht="13.5" customHeight="1">
      <c r="A866" s="28"/>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row>
    <row r="867" ht="13.5" customHeight="1">
      <c r="A867" s="28"/>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row>
    <row r="868" ht="13.5" customHeight="1">
      <c r="A868" s="28"/>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row>
    <row r="869" ht="13.5" customHeight="1">
      <c r="A869" s="28"/>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row>
    <row r="870" ht="13.5" customHeight="1">
      <c r="A870" s="28"/>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row>
    <row r="871" ht="13.5" customHeight="1">
      <c r="A871" s="28"/>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row>
    <row r="872" ht="13.5" customHeight="1">
      <c r="A872" s="28"/>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row>
    <row r="873" ht="13.5" customHeight="1">
      <c r="A873" s="28"/>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row>
    <row r="874" ht="13.5" customHeight="1">
      <c r="A874" s="28"/>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row>
    <row r="875" ht="13.5" customHeight="1">
      <c r="A875" s="28"/>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row>
    <row r="876" ht="13.5" customHeight="1">
      <c r="A876" s="28"/>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row>
    <row r="877" ht="13.5" customHeight="1">
      <c r="A877" s="28"/>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row>
    <row r="878" ht="13.5" customHeight="1">
      <c r="A878" s="28"/>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row>
    <row r="879" ht="13.5" customHeight="1">
      <c r="A879" s="28"/>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row>
    <row r="880" ht="13.5" customHeight="1">
      <c r="A880" s="28"/>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row>
    <row r="881" ht="13.5" customHeight="1">
      <c r="A881" s="28"/>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row>
    <row r="882" ht="13.5" customHeight="1">
      <c r="A882" s="28"/>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row>
    <row r="883" ht="13.5" customHeight="1">
      <c r="A883" s="28"/>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row>
    <row r="884" ht="13.5" customHeight="1">
      <c r="A884" s="28"/>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row>
    <row r="885" ht="13.5" customHeight="1">
      <c r="A885" s="28"/>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row>
    <row r="886" ht="13.5" customHeight="1">
      <c r="A886" s="28"/>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row>
    <row r="887" ht="13.5" customHeight="1">
      <c r="A887" s="28"/>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row>
    <row r="888" ht="13.5" customHeight="1">
      <c r="A888" s="28"/>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row>
    <row r="889" ht="13.5" customHeight="1">
      <c r="A889" s="28"/>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row>
    <row r="890" ht="13.5" customHeight="1">
      <c r="A890" s="28"/>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row>
    <row r="891" ht="13.5" customHeight="1">
      <c r="A891" s="28"/>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row>
    <row r="892" ht="13.5" customHeight="1">
      <c r="A892" s="28"/>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row>
    <row r="893" ht="13.5" customHeight="1">
      <c r="A893" s="28"/>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row>
    <row r="894" ht="13.5" customHeight="1">
      <c r="A894" s="28"/>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row>
    <row r="895" ht="13.5" customHeight="1">
      <c r="A895" s="28"/>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row>
    <row r="896" ht="13.5" customHeight="1">
      <c r="A896" s="28"/>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row>
    <row r="897" ht="13.5" customHeight="1">
      <c r="A897" s="28"/>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row>
    <row r="898" ht="13.5" customHeight="1">
      <c r="A898" s="28"/>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row>
    <row r="899" ht="13.5" customHeight="1">
      <c r="A899" s="28"/>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row>
    <row r="900" ht="13.5" customHeight="1">
      <c r="A900" s="28"/>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row>
    <row r="901" ht="13.5" customHeight="1">
      <c r="A901" s="28"/>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row>
    <row r="902" ht="13.5" customHeight="1">
      <c r="A902" s="28"/>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row>
    <row r="903" ht="13.5" customHeight="1">
      <c r="A903" s="28"/>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row>
    <row r="904" ht="13.5" customHeight="1">
      <c r="A904" s="28"/>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row>
    <row r="905" ht="13.5" customHeight="1">
      <c r="A905" s="28"/>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row>
    <row r="906" ht="13.5" customHeight="1">
      <c r="A906" s="28"/>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row>
    <row r="907" ht="13.5" customHeight="1">
      <c r="A907" s="28"/>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row>
    <row r="908" ht="13.5" customHeight="1">
      <c r="A908" s="28"/>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row>
    <row r="909" ht="13.5" customHeight="1">
      <c r="A909" s="28"/>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row>
    <row r="910" ht="13.5" customHeight="1">
      <c r="A910" s="28"/>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row>
    <row r="911" ht="13.5" customHeight="1">
      <c r="A911" s="28"/>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row>
    <row r="912" ht="13.5" customHeight="1">
      <c r="A912" s="28"/>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row>
    <row r="913" ht="13.5" customHeight="1">
      <c r="A913" s="28"/>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row>
    <row r="914" ht="13.5" customHeight="1">
      <c r="A914" s="28"/>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row>
    <row r="915" ht="13.5" customHeight="1">
      <c r="A915" s="28"/>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row>
    <row r="916" ht="13.5" customHeight="1">
      <c r="A916" s="28"/>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row>
    <row r="917" ht="13.5" customHeight="1">
      <c r="A917" s="28"/>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row>
    <row r="918" ht="13.5" customHeight="1">
      <c r="A918" s="28"/>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row>
    <row r="919" ht="13.5" customHeight="1">
      <c r="A919" s="28"/>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row>
    <row r="920" ht="13.5" customHeight="1">
      <c r="A920" s="28"/>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row>
    <row r="921" ht="13.5" customHeight="1">
      <c r="A921" s="28"/>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row>
    <row r="922" ht="13.5" customHeight="1">
      <c r="A922" s="28"/>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row>
    <row r="923" ht="13.5" customHeight="1">
      <c r="A923" s="28"/>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row>
    <row r="924" ht="13.5" customHeight="1">
      <c r="A924" s="28"/>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row>
    <row r="925" ht="13.5" customHeight="1">
      <c r="A925" s="28"/>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row>
    <row r="926" ht="13.5" customHeight="1">
      <c r="A926" s="28"/>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row>
    <row r="927" ht="13.5" customHeight="1">
      <c r="A927" s="28"/>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row>
    <row r="928" ht="13.5" customHeight="1">
      <c r="A928" s="28"/>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row>
    <row r="929" ht="13.5" customHeight="1">
      <c r="A929" s="28"/>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row>
    <row r="930" ht="13.5" customHeight="1">
      <c r="A930" s="28"/>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row>
    <row r="931" ht="13.5" customHeight="1">
      <c r="A931" s="28"/>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row>
    <row r="932" ht="13.5" customHeight="1">
      <c r="A932" s="28"/>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row>
    <row r="933" ht="13.5" customHeight="1">
      <c r="A933" s="28"/>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row>
    <row r="934" ht="13.5" customHeight="1">
      <c r="A934" s="28"/>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row>
    <row r="935" ht="13.5" customHeight="1">
      <c r="A935" s="28"/>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row>
    <row r="936" ht="13.5" customHeight="1">
      <c r="A936" s="28"/>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row>
    <row r="937" ht="13.5" customHeight="1">
      <c r="A937" s="28"/>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row>
    <row r="938" ht="13.5" customHeight="1">
      <c r="A938" s="28"/>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row>
    <row r="939" ht="13.5" customHeight="1">
      <c r="A939" s="28"/>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row>
    <row r="940" ht="13.5" customHeight="1">
      <c r="A940" s="28"/>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row>
    <row r="941" ht="13.5" customHeight="1">
      <c r="A941" s="28"/>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row>
    <row r="942" ht="13.5" customHeight="1">
      <c r="A942" s="28"/>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row>
    <row r="943" ht="13.5" customHeight="1">
      <c r="A943" s="28"/>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row>
    <row r="944" ht="13.5" customHeight="1">
      <c r="A944" s="28"/>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row>
    <row r="945" ht="13.5" customHeight="1">
      <c r="A945" s="28"/>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row>
    <row r="946" ht="13.5" customHeight="1">
      <c r="A946" s="28"/>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row>
    <row r="947" ht="13.5" customHeight="1">
      <c r="A947" s="28"/>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row>
    <row r="948" ht="13.5" customHeight="1">
      <c r="A948" s="28"/>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row>
    <row r="949" ht="13.5" customHeight="1">
      <c r="A949" s="28"/>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row>
    <row r="950" ht="13.5" customHeight="1">
      <c r="A950" s="28"/>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row>
    <row r="951" ht="13.5" customHeight="1">
      <c r="A951" s="28"/>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row>
    <row r="952" ht="13.5" customHeight="1">
      <c r="A952" s="28"/>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row>
    <row r="953" ht="13.5" customHeight="1">
      <c r="A953" s="28"/>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row>
    <row r="954" ht="13.5" customHeight="1">
      <c r="A954" s="28"/>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row>
    <row r="955" ht="13.5" customHeight="1">
      <c r="A955" s="28"/>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row>
    <row r="956" ht="13.5" customHeight="1">
      <c r="A956" s="28"/>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row>
    <row r="957" ht="13.5" customHeight="1">
      <c r="A957" s="28"/>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row>
    <row r="958" ht="13.5" customHeight="1">
      <c r="A958" s="28"/>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row>
    <row r="959" ht="13.5" customHeight="1">
      <c r="A959" s="28"/>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row>
    <row r="960" ht="13.5" customHeight="1">
      <c r="A960" s="28"/>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row>
    <row r="961" ht="13.5" customHeight="1">
      <c r="A961" s="28"/>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row>
    <row r="962" ht="13.5" customHeight="1">
      <c r="A962" s="28"/>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row>
    <row r="963" ht="13.5" customHeight="1">
      <c r="A963" s="28"/>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row>
    <row r="964" ht="13.5" customHeight="1">
      <c r="A964" s="28"/>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row>
    <row r="965" ht="13.5" customHeight="1">
      <c r="A965" s="28"/>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row>
    <row r="966" ht="13.5" customHeight="1">
      <c r="A966" s="28"/>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row>
    <row r="967" ht="13.5" customHeight="1">
      <c r="A967" s="28"/>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row>
    <row r="968" ht="13.5" customHeight="1">
      <c r="A968" s="28"/>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row>
    <row r="969" ht="13.5" customHeight="1">
      <c r="A969" s="28"/>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row>
    <row r="970" ht="13.5" customHeight="1">
      <c r="A970" s="28"/>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row>
    <row r="971" ht="13.5" customHeight="1">
      <c r="A971" s="28"/>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row>
    <row r="972" ht="13.5" customHeight="1">
      <c r="A972" s="28"/>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row>
    <row r="973" ht="13.5" customHeight="1">
      <c r="A973" s="28"/>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row>
    <row r="974" ht="13.5" customHeight="1">
      <c r="A974" s="28"/>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row>
    <row r="975" ht="13.5" customHeight="1">
      <c r="A975" s="28"/>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row>
    <row r="976" ht="13.5" customHeight="1">
      <c r="A976" s="28"/>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row>
    <row r="977" ht="13.5" customHeight="1">
      <c r="A977" s="28"/>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row>
    <row r="978" ht="13.5" customHeight="1">
      <c r="A978" s="28"/>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row>
    <row r="979" ht="13.5" customHeight="1">
      <c r="A979" s="28"/>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row>
    <row r="980" ht="13.5" customHeight="1">
      <c r="A980" s="28"/>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row>
    <row r="981" ht="13.5" customHeight="1">
      <c r="A981" s="28"/>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row>
    <row r="982" ht="13.5" customHeight="1">
      <c r="A982" s="28"/>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row>
    <row r="983" ht="13.5" customHeight="1">
      <c r="A983" s="28"/>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row>
    <row r="984" ht="13.5" customHeight="1">
      <c r="A984" s="28"/>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row>
    <row r="985" ht="13.5" customHeight="1">
      <c r="A985" s="28"/>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row>
    <row r="986" ht="13.5" customHeight="1">
      <c r="A986" s="28"/>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row>
    <row r="987" ht="13.5" customHeight="1">
      <c r="A987" s="28"/>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row>
    <row r="988" ht="13.5" customHeight="1">
      <c r="A988" s="28"/>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row>
    <row r="989" ht="13.5" customHeight="1">
      <c r="A989" s="28"/>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row>
    <row r="990" ht="13.5" customHeight="1">
      <c r="A990" s="28"/>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row>
    <row r="991" ht="13.5" customHeight="1">
      <c r="A991" s="28"/>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row>
    <row r="992" ht="13.5" customHeight="1">
      <c r="A992" s="28"/>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row>
    <row r="993" ht="13.5" customHeight="1">
      <c r="A993" s="28"/>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row>
    <row r="994" ht="13.5" customHeight="1">
      <c r="A994" s="28"/>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row>
    <row r="995" ht="13.5" customHeight="1">
      <c r="A995" s="28"/>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row>
    <row r="996" ht="13.5" customHeight="1">
      <c r="A996" s="28"/>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row>
    <row r="997" ht="13.5" customHeight="1">
      <c r="A997" s="28"/>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row>
    <row r="998" ht="13.5" customHeight="1">
      <c r="A998" s="28"/>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row>
    <row r="999" ht="13.5" customHeight="1">
      <c r="A999" s="28"/>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row>
    <row r="1000" ht="13.5" customHeight="1">
      <c r="A1000" s="28"/>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row>
    <row r="1001" ht="13.5" customHeight="1">
      <c r="A1001" s="28"/>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row>
    <row r="1002" ht="13.5" customHeight="1">
      <c r="A1002" s="28"/>
      <c r="B1002" s="36"/>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row>
    <row r="1003" ht="13.5" customHeight="1">
      <c r="A1003" s="28"/>
      <c r="B1003" s="36"/>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row>
    <row r="1004" ht="13.5" customHeight="1">
      <c r="A1004" s="28"/>
      <c r="B1004" s="36"/>
      <c r="C1004" s="36"/>
      <c r="D1004" s="36"/>
      <c r="E1004" s="36"/>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row>
    <row r="1005" ht="13.5" customHeight="1">
      <c r="A1005" s="28"/>
      <c r="B1005" s="36"/>
      <c r="C1005" s="36"/>
      <c r="D1005" s="36"/>
      <c r="E1005" s="36"/>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row>
    <row r="1006" ht="13.5" customHeight="1">
      <c r="A1006" s="28"/>
      <c r="B1006" s="36"/>
      <c r="C1006" s="36"/>
      <c r="D1006" s="36"/>
      <c r="E1006" s="36"/>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row>
    <row r="1007" ht="13.5" customHeight="1">
      <c r="A1007" s="28"/>
      <c r="B1007" s="36"/>
      <c r="C1007" s="36"/>
      <c r="D1007" s="36"/>
      <c r="E1007" s="36"/>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row>
    <row r="1008" ht="13.5" customHeight="1">
      <c r="A1008" s="28"/>
      <c r="B1008" s="36"/>
      <c r="C1008" s="36"/>
      <c r="D1008" s="36"/>
      <c r="E1008" s="36"/>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row>
  </sheetData>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2" width="13.13"/>
    <col customWidth="1" min="3" max="7" width="8.88"/>
    <col customWidth="1" min="8" max="8" width="5.13"/>
    <col customWidth="1" min="9" max="13" width="8.88"/>
  </cols>
  <sheetData>
    <row r="1">
      <c r="A1" s="47"/>
      <c r="B1" s="48"/>
      <c r="C1" s="49" t="s">
        <v>31</v>
      </c>
      <c r="D1" s="50" t="s">
        <v>32</v>
      </c>
      <c r="E1" s="50" t="s">
        <v>33</v>
      </c>
      <c r="F1" s="50" t="s">
        <v>34</v>
      </c>
      <c r="G1" s="51" t="s">
        <v>35</v>
      </c>
      <c r="H1" s="52"/>
      <c r="I1" s="49" t="s">
        <v>36</v>
      </c>
      <c r="J1" s="50" t="s">
        <v>37</v>
      </c>
      <c r="K1" s="50" t="s">
        <v>38</v>
      </c>
      <c r="L1" s="50" t="s">
        <v>39</v>
      </c>
      <c r="M1" s="53" t="s">
        <v>40</v>
      </c>
    </row>
    <row r="2">
      <c r="A2" s="54" t="s">
        <v>41</v>
      </c>
      <c r="B2" s="55" t="s">
        <v>42</v>
      </c>
      <c r="C2" s="56">
        <f>IFERROR(__xludf.DUMMYFUNCTION("importrange(""https://docs.google.com/spreadsheets/d/1dLfYOQFpigEZqlGDoVEu7D9_cKDGOeJRpdvNOIy6BX0/edit#gid=1309682809"",""消费总计2021!c2:g4"")"),213.0)</f>
        <v>213</v>
      </c>
      <c r="D2" s="57">
        <f>IFERROR(__xludf.DUMMYFUNCTION("""COMPUTED_VALUE"""),0.0)</f>
        <v>0</v>
      </c>
      <c r="E2" s="57">
        <f>IFERROR(__xludf.DUMMYFUNCTION("""COMPUTED_VALUE"""),5810.0)</f>
        <v>5810</v>
      </c>
      <c r="F2" s="57">
        <f>IFERROR(__xludf.DUMMYFUNCTION("""COMPUTED_VALUE"""),82070.0)</f>
        <v>82070</v>
      </c>
      <c r="G2" s="58">
        <f>IFERROR(__xludf.DUMMYFUNCTION("""COMPUTED_VALUE"""),88093.0)</f>
        <v>88093</v>
      </c>
      <c r="H2" s="59"/>
      <c r="I2" s="60">
        <f>sumif('202101'!$M$3:$M$70,"共同",'202101'!N$3:N$70)</f>
        <v>90465</v>
      </c>
      <c r="J2" s="61">
        <f>sumif('202101'!$M$3:$M$70,"共同",'202101'!O$3:O$70)</f>
        <v>300</v>
      </c>
      <c r="K2" s="61">
        <f>sumif('202101'!$M$3:$M$70,"共同",'202101'!P$3:P$70)</f>
        <v>29080</v>
      </c>
      <c r="L2" s="61">
        <f>sumif('202101'!$M$3:$M$70,"共同",'202101'!Q$3:Q$70)</f>
        <v>6050</v>
      </c>
      <c r="M2" s="62">
        <f t="shared" ref="M2:M4" si="1">sum(I2:L2)</f>
        <v>125895</v>
      </c>
    </row>
    <row r="3">
      <c r="A3" s="63"/>
      <c r="B3" s="64" t="s">
        <v>43</v>
      </c>
      <c r="C3" s="65">
        <f>IFERROR(__xludf.DUMMYFUNCTION("""COMPUTED_VALUE"""),0.0)</f>
        <v>0</v>
      </c>
      <c r="D3" s="66">
        <f>IFERROR(__xludf.DUMMYFUNCTION("""COMPUTED_VALUE"""),0.0)</f>
        <v>0</v>
      </c>
      <c r="E3" s="66">
        <f>IFERROR(__xludf.DUMMYFUNCTION("""COMPUTED_VALUE"""),8551.0)</f>
        <v>8551</v>
      </c>
      <c r="F3" s="66">
        <f>IFERROR(__xludf.DUMMYFUNCTION("""COMPUTED_VALUE"""),57482.0)</f>
        <v>57482</v>
      </c>
      <c r="G3" s="67">
        <f>IFERROR(__xludf.DUMMYFUNCTION("""COMPUTED_VALUE"""),66033.0)</f>
        <v>66033</v>
      </c>
      <c r="H3" s="68"/>
      <c r="I3" s="69">
        <f>sumif('202101'!$M$3:$M$70,"大兔",'202101'!N$3:N$70)</f>
        <v>0</v>
      </c>
      <c r="J3" s="70">
        <f>sumif('202101'!$M$3:$M$70,"大兔",'202101'!O$3:O$70)</f>
        <v>0</v>
      </c>
      <c r="K3" s="70">
        <f>sumif('202101'!$M$3:$M$70,"大兔",'202101'!P$3:P$70)</f>
        <v>0</v>
      </c>
      <c r="L3" s="70">
        <f>sumif('202101'!$M$3:$M$70,"大兔",'202101'!Q$3:Q$70)</f>
        <v>103230</v>
      </c>
      <c r="M3" s="71">
        <f t="shared" si="1"/>
        <v>103230</v>
      </c>
    </row>
    <row r="4">
      <c r="A4" s="63"/>
      <c r="B4" s="64" t="s">
        <v>44</v>
      </c>
      <c r="C4" s="65">
        <f>IFERROR(__xludf.DUMMYFUNCTION("""COMPUTED_VALUE"""),0.0)</f>
        <v>0</v>
      </c>
      <c r="D4" s="66">
        <f>IFERROR(__xludf.DUMMYFUNCTION("""COMPUTED_VALUE"""),0.0)</f>
        <v>0</v>
      </c>
      <c r="E4" s="66">
        <f>IFERROR(__xludf.DUMMYFUNCTION("""COMPUTED_VALUE"""),0.0)</f>
        <v>0</v>
      </c>
      <c r="F4" s="66">
        <f>IFERROR(__xludf.DUMMYFUNCTION("""COMPUTED_VALUE"""),0.0)</f>
        <v>0</v>
      </c>
      <c r="G4" s="67">
        <f>IFERROR(__xludf.DUMMYFUNCTION("""COMPUTED_VALUE"""),0.0)</f>
        <v>0</v>
      </c>
      <c r="H4" s="68"/>
      <c r="I4" s="69">
        <f>sumif('202101'!$M$3:$M$70,"小兔",'202101'!N$3:N$70)</f>
        <v>0</v>
      </c>
      <c r="J4" s="70">
        <f>sumif('202101'!$M$3:$M$70,"小兔",'202101'!O$3:O$70)</f>
        <v>0</v>
      </c>
      <c r="K4" s="70">
        <f>sumif('202101'!$M$3:$M$70,"小兔",'202101'!P$3:P$70)</f>
        <v>11229</v>
      </c>
      <c r="L4" s="70">
        <f>sumif('202101'!$M$3:$M$70,"小兔",'202101'!Q$3:Q$70)</f>
        <v>0</v>
      </c>
      <c r="M4" s="71">
        <f t="shared" si="1"/>
        <v>11229</v>
      </c>
    </row>
    <row r="5">
      <c r="A5" s="72"/>
      <c r="B5" s="73" t="s">
        <v>45</v>
      </c>
      <c r="C5" s="74" t="s">
        <v>30</v>
      </c>
      <c r="D5" s="75" t="s">
        <v>30</v>
      </c>
      <c r="E5" s="75" t="s">
        <v>30</v>
      </c>
      <c r="F5" s="75" t="s">
        <v>30</v>
      </c>
      <c r="G5" s="76">
        <f>sum(G2:G4)-average(G2,M2)-G3-M4</f>
        <v>-30130</v>
      </c>
      <c r="H5" s="77"/>
      <c r="I5" s="74" t="s">
        <v>30</v>
      </c>
      <c r="J5" s="75" t="s">
        <v>30</v>
      </c>
      <c r="K5" s="75" t="s">
        <v>30</v>
      </c>
      <c r="L5" s="75" t="s">
        <v>30</v>
      </c>
      <c r="M5" s="76">
        <f>sum(M2:M4)-average(G2,M2)-M3-G4</f>
        <v>30130</v>
      </c>
    </row>
    <row r="6">
      <c r="A6" s="78"/>
      <c r="B6" s="79" t="s">
        <v>46</v>
      </c>
      <c r="C6" s="80">
        <f t="shared" ref="C6:F6" si="2">average(C2,I2)+C3+I4</f>
        <v>45339</v>
      </c>
      <c r="D6" s="81">
        <f t="shared" si="2"/>
        <v>150</v>
      </c>
      <c r="E6" s="81">
        <f t="shared" si="2"/>
        <v>37225</v>
      </c>
      <c r="F6" s="81">
        <f t="shared" si="2"/>
        <v>101542</v>
      </c>
      <c r="G6" s="82">
        <f>sum(C6:F6)</f>
        <v>184256</v>
      </c>
      <c r="H6" s="83"/>
      <c r="I6" s="80">
        <f t="shared" ref="I6:L6" si="3">average(C2,I2)+I3+C4</f>
        <v>45339</v>
      </c>
      <c r="J6" s="81">
        <f t="shared" si="3"/>
        <v>150</v>
      </c>
      <c r="K6" s="81">
        <f t="shared" si="3"/>
        <v>17445</v>
      </c>
      <c r="L6" s="81">
        <f t="shared" si="3"/>
        <v>147290</v>
      </c>
      <c r="M6" s="82">
        <f t="shared" ref="M6:M9" si="4">sum(I6:L6)</f>
        <v>210224</v>
      </c>
    </row>
    <row r="7">
      <c r="A7" s="54" t="s">
        <v>47</v>
      </c>
      <c r="B7" s="55" t="s">
        <v>42</v>
      </c>
      <c r="C7" s="56">
        <f>IFERROR(__xludf.DUMMYFUNCTION("importrange(""https://docs.google.com/spreadsheets/d/1dLfYOQFpigEZqlGDoVEu7D9_cKDGOeJRpdvNOIy6BX0/edit#gid=1309682809"",""消费总计2021!c7:g9"")"),4325.0)</f>
        <v>4325</v>
      </c>
      <c r="D7" s="57">
        <f>IFERROR(__xludf.DUMMYFUNCTION("""COMPUTED_VALUE"""),0.0)</f>
        <v>0</v>
      </c>
      <c r="E7" s="57">
        <f>IFERROR(__xludf.DUMMYFUNCTION("""COMPUTED_VALUE"""),0.0)</f>
        <v>0</v>
      </c>
      <c r="F7" s="57">
        <f>IFERROR(__xludf.DUMMYFUNCTION("""COMPUTED_VALUE"""),84864.0)</f>
        <v>84864</v>
      </c>
      <c r="G7" s="58">
        <f>IFERROR(__xludf.DUMMYFUNCTION("""COMPUTED_VALUE"""),89189.0)</f>
        <v>89189</v>
      </c>
      <c r="H7" s="59"/>
      <c r="I7" s="60">
        <f>sumif('202102'!$M$3:$M$200,"共同",'202102'!N$3:N$200)</f>
        <v>84405.08</v>
      </c>
      <c r="J7" s="61">
        <f>sumif('202102'!$M$3:$M$200,"共同",'202102'!O$3:O$200)</f>
        <v>2000</v>
      </c>
      <c r="K7" s="61">
        <f>sumif('202102'!$M$3:$M$200,"共同",'202102'!P$3:P$200)</f>
        <v>11137</v>
      </c>
      <c r="L7" s="61">
        <f>sumif('202102'!$M$3:$M$200,"共同",'202102'!Q$3:Q$200)</f>
        <v>30336</v>
      </c>
      <c r="M7" s="62">
        <f t="shared" si="4"/>
        <v>127878.08</v>
      </c>
    </row>
    <row r="8">
      <c r="A8" s="63"/>
      <c r="B8" s="64" t="s">
        <v>43</v>
      </c>
      <c r="C8" s="65">
        <f>IFERROR(__xludf.DUMMYFUNCTION("""COMPUTED_VALUE"""),0.0)</f>
        <v>0</v>
      </c>
      <c r="D8" s="66">
        <f>IFERROR(__xludf.DUMMYFUNCTION("""COMPUTED_VALUE"""),0.0)</f>
        <v>0</v>
      </c>
      <c r="E8" s="66">
        <f>IFERROR(__xludf.DUMMYFUNCTION("""COMPUTED_VALUE"""),12185.0)</f>
        <v>12185</v>
      </c>
      <c r="F8" s="66">
        <f>IFERROR(__xludf.DUMMYFUNCTION("""COMPUTED_VALUE"""),1663.0)</f>
        <v>1663</v>
      </c>
      <c r="G8" s="67">
        <f>IFERROR(__xludf.DUMMYFUNCTION("""COMPUTED_VALUE"""),13848.0)</f>
        <v>13848</v>
      </c>
      <c r="H8" s="68"/>
      <c r="I8" s="69">
        <f>sumif('202102'!$M$3:$M$200,"大兔",'202102'!N$3:N$200)</f>
        <v>0</v>
      </c>
      <c r="J8" s="70">
        <f>sumif('202102'!$M$3:$M$200,"大兔",'202102'!O$3:O$200)</f>
        <v>150</v>
      </c>
      <c r="K8" s="70">
        <f>sumif('202102'!$M$3:$M$200,"大兔",'202102'!P$3:P$200)</f>
        <v>0</v>
      </c>
      <c r="L8" s="70">
        <f>sumif('202102'!$M$3:$M$200,"大兔",'202102'!Q$3:Q$200)</f>
        <v>5465</v>
      </c>
      <c r="M8" s="71">
        <f t="shared" si="4"/>
        <v>5615</v>
      </c>
    </row>
    <row r="9">
      <c r="A9" s="63"/>
      <c r="B9" s="64" t="s">
        <v>44</v>
      </c>
      <c r="C9" s="65">
        <f>IFERROR(__xludf.DUMMYFUNCTION("""COMPUTED_VALUE"""),0.0)</f>
        <v>0</v>
      </c>
      <c r="D9" s="66">
        <f>IFERROR(__xludf.DUMMYFUNCTION("""COMPUTED_VALUE"""),0.0)</f>
        <v>0</v>
      </c>
      <c r="E9" s="66">
        <f>IFERROR(__xludf.DUMMYFUNCTION("""COMPUTED_VALUE"""),1381.0)</f>
        <v>1381</v>
      </c>
      <c r="F9" s="66">
        <f>IFERROR(__xludf.DUMMYFUNCTION("""COMPUTED_VALUE"""),0.0)</f>
        <v>0</v>
      </c>
      <c r="G9" s="67">
        <f>IFERROR(__xludf.DUMMYFUNCTION("""COMPUTED_VALUE"""),1381.0)</f>
        <v>1381</v>
      </c>
      <c r="H9" s="68"/>
      <c r="I9" s="69">
        <f>sumif('202102'!$M$3:$M$200,"小兔",'202102'!N$3:N$200)</f>
        <v>0</v>
      </c>
      <c r="J9" s="70">
        <f>sumif('202102'!$M$3:$M$200,"小兔",'202102'!O$3:O$200)</f>
        <v>0</v>
      </c>
      <c r="K9" s="70">
        <f>sumif('202102'!$M$3:$M$200,"小兔",'202102'!P$3:P$200)</f>
        <v>5489</v>
      </c>
      <c r="L9" s="70">
        <f>sumif('202102'!$M$3:$M$200,"小兔",'202102'!Q$3:Q$200)</f>
        <v>0</v>
      </c>
      <c r="M9" s="71">
        <f t="shared" si="4"/>
        <v>5489</v>
      </c>
    </row>
    <row r="10">
      <c r="A10" s="63"/>
      <c r="B10" s="64" t="s">
        <v>45</v>
      </c>
      <c r="C10" s="74" t="s">
        <v>30</v>
      </c>
      <c r="D10" s="75" t="s">
        <v>30</v>
      </c>
      <c r="E10" s="75" t="s">
        <v>30</v>
      </c>
      <c r="F10" s="75" t="s">
        <v>30</v>
      </c>
      <c r="G10" s="76">
        <f>sum(G7:G9)-average(G7,M7)-G8-M9</f>
        <v>-23452.54</v>
      </c>
      <c r="H10" s="77"/>
      <c r="I10" s="74" t="s">
        <v>30</v>
      </c>
      <c r="J10" s="75" t="s">
        <v>30</v>
      </c>
      <c r="K10" s="75" t="s">
        <v>30</v>
      </c>
      <c r="L10" s="75" t="s">
        <v>30</v>
      </c>
      <c r="M10" s="76">
        <f>sum(M7:M9)-average(G7,M7)-M8-G9</f>
        <v>23452.54</v>
      </c>
    </row>
    <row r="11">
      <c r="A11" s="84"/>
      <c r="B11" s="85" t="s">
        <v>46</v>
      </c>
      <c r="C11" s="80">
        <f t="shared" ref="C11:F11" si="5">average(C7,I7)+C8+I9</f>
        <v>44365.04</v>
      </c>
      <c r="D11" s="81">
        <f t="shared" si="5"/>
        <v>1000</v>
      </c>
      <c r="E11" s="81">
        <f t="shared" si="5"/>
        <v>23242.5</v>
      </c>
      <c r="F11" s="81">
        <f t="shared" si="5"/>
        <v>59263</v>
      </c>
      <c r="G11" s="82">
        <f>sum(C11:F11)</f>
        <v>127870.54</v>
      </c>
      <c r="H11" s="83"/>
      <c r="I11" s="86">
        <f t="shared" ref="I11:L11" si="6">average(C7,I7)+I8+C9</f>
        <v>44365.04</v>
      </c>
      <c r="J11" s="87">
        <f t="shared" si="6"/>
        <v>1150</v>
      </c>
      <c r="K11" s="87">
        <f t="shared" si="6"/>
        <v>6949.5</v>
      </c>
      <c r="L11" s="87">
        <f t="shared" si="6"/>
        <v>63065</v>
      </c>
      <c r="M11" s="82">
        <f t="shared" ref="M11:M14" si="7">sum(I11:L11)</f>
        <v>115529.54</v>
      </c>
    </row>
    <row r="12">
      <c r="A12" s="88" t="s">
        <v>48</v>
      </c>
      <c r="B12" s="55" t="s">
        <v>42</v>
      </c>
      <c r="C12" s="56">
        <f>IFERROR(__xludf.DUMMYFUNCTION("importrange(""https://docs.google.com/spreadsheets/d/1dLfYOQFpigEZqlGDoVEu7D9_cKDGOeJRpdvNOIy6BX0/edit#gid=1309682809"",""消费总计2021!c12:g14"")"),12110.0)</f>
        <v>12110</v>
      </c>
      <c r="D12" s="57">
        <f>IFERROR(__xludf.DUMMYFUNCTION("""COMPUTED_VALUE"""),0.0)</f>
        <v>0</v>
      </c>
      <c r="E12" s="57">
        <f>IFERROR(__xludf.DUMMYFUNCTION("""COMPUTED_VALUE"""),0.0)</f>
        <v>0</v>
      </c>
      <c r="F12" s="57">
        <f>IFERROR(__xludf.DUMMYFUNCTION("""COMPUTED_VALUE"""),80882.0)</f>
        <v>80882</v>
      </c>
      <c r="G12" s="58">
        <f>IFERROR(__xludf.DUMMYFUNCTION("""COMPUTED_VALUE"""),92992.0)</f>
        <v>92992</v>
      </c>
      <c r="H12" s="59"/>
      <c r="I12" s="60">
        <f>sumif('202103'!$M$3:$M$200,"共同",'202103'!N$3:N$200)</f>
        <v>84745.2</v>
      </c>
      <c r="J12" s="61">
        <f>sumif('202103'!$M$3:$M$200,"共同",'202103'!O$3:O$200)</f>
        <v>1000</v>
      </c>
      <c r="K12" s="61">
        <f>sumif('202103'!$M$3:$M$200,"共同",'202103'!P$3:P$200)</f>
        <v>2000</v>
      </c>
      <c r="L12" s="61">
        <f>sumif('202103'!$M$3:$M$200,"共同",'202103'!Q$3:Q$200)</f>
        <v>13610</v>
      </c>
      <c r="M12" s="62">
        <f t="shared" si="7"/>
        <v>101355.2</v>
      </c>
    </row>
    <row r="13">
      <c r="A13" s="63"/>
      <c r="B13" s="64" t="s">
        <v>43</v>
      </c>
      <c r="C13" s="65">
        <f>IFERROR(__xludf.DUMMYFUNCTION("""COMPUTED_VALUE"""),0.0)</f>
        <v>0</v>
      </c>
      <c r="D13" s="66">
        <f>IFERROR(__xludf.DUMMYFUNCTION("""COMPUTED_VALUE"""),0.0)</f>
        <v>0</v>
      </c>
      <c r="E13" s="66">
        <f>IFERROR(__xludf.DUMMYFUNCTION("""COMPUTED_VALUE"""),25545.0)</f>
        <v>25545</v>
      </c>
      <c r="F13" s="66">
        <f>IFERROR(__xludf.DUMMYFUNCTION("""COMPUTED_VALUE"""),20797.0)</f>
        <v>20797</v>
      </c>
      <c r="G13" s="67">
        <f>IFERROR(__xludf.DUMMYFUNCTION("""COMPUTED_VALUE"""),46342.0)</f>
        <v>46342</v>
      </c>
      <c r="H13" s="68"/>
      <c r="I13" s="69">
        <f>sumif('202103'!$M$3:$M$200,"大兔",'202103'!N$3:N$200)</f>
        <v>1672</v>
      </c>
      <c r="J13" s="70">
        <f>sumif('202103'!$M$3:$M$200,"大兔",'202103'!O$3:O$200)</f>
        <v>1000</v>
      </c>
      <c r="K13" s="70">
        <f>sumif('202103'!$M$3:$M$200,"大兔",'202103'!P$3:P$200)</f>
        <v>0</v>
      </c>
      <c r="L13" s="70">
        <f>sumif('202103'!$M$3:$M$200,"大兔",'202103'!Q$3:Q$200)</f>
        <v>10752</v>
      </c>
      <c r="M13" s="71">
        <f t="shared" si="7"/>
        <v>13424</v>
      </c>
    </row>
    <row r="14">
      <c r="A14" s="63"/>
      <c r="B14" s="64" t="s">
        <v>44</v>
      </c>
      <c r="C14" s="65">
        <f>IFERROR(__xludf.DUMMYFUNCTION("""COMPUTED_VALUE"""),0.0)</f>
        <v>0</v>
      </c>
      <c r="D14" s="66">
        <f>IFERROR(__xludf.DUMMYFUNCTION("""COMPUTED_VALUE"""),0.0)</f>
        <v>0</v>
      </c>
      <c r="E14" s="66">
        <f>IFERROR(__xludf.DUMMYFUNCTION("""COMPUTED_VALUE"""),0.0)</f>
        <v>0</v>
      </c>
      <c r="F14" s="66">
        <f>IFERROR(__xludf.DUMMYFUNCTION("""COMPUTED_VALUE"""),0.0)</f>
        <v>0</v>
      </c>
      <c r="G14" s="67">
        <f>IFERROR(__xludf.DUMMYFUNCTION("""COMPUTED_VALUE"""),0.0)</f>
        <v>0</v>
      </c>
      <c r="H14" s="68"/>
      <c r="I14" s="69">
        <f>sumif('202103'!$M$3:$M$200,"小兔",'202103'!N$3:N$200)</f>
        <v>0</v>
      </c>
      <c r="J14" s="70">
        <f>sumif('202103'!$M$3:$M$200,"小兔",'202103'!O$3:O$200)</f>
        <v>0</v>
      </c>
      <c r="K14" s="70">
        <f>sumif('202103'!$M$3:$M$200,"小兔",'202103'!P$3:P$200)</f>
        <v>0</v>
      </c>
      <c r="L14" s="70">
        <f>sumif('202103'!$M$3:$M$200,"小兔",'202103'!Q$3:Q$200)</f>
        <v>2220</v>
      </c>
      <c r="M14" s="71">
        <f t="shared" si="7"/>
        <v>2220</v>
      </c>
    </row>
    <row r="15">
      <c r="A15" s="72"/>
      <c r="B15" s="73" t="s">
        <v>45</v>
      </c>
      <c r="C15" s="74" t="s">
        <v>30</v>
      </c>
      <c r="D15" s="75" t="s">
        <v>30</v>
      </c>
      <c r="E15" s="75" t="s">
        <v>30</v>
      </c>
      <c r="F15" s="75" t="s">
        <v>30</v>
      </c>
      <c r="G15" s="76">
        <f>sum(G12:G14)-average(G12,M12)-G13-M14</f>
        <v>-6401.6</v>
      </c>
      <c r="H15" s="77"/>
      <c r="I15" s="74" t="s">
        <v>30</v>
      </c>
      <c r="J15" s="75" t="s">
        <v>30</v>
      </c>
      <c r="K15" s="75" t="s">
        <v>30</v>
      </c>
      <c r="L15" s="75" t="s">
        <v>30</v>
      </c>
      <c r="M15" s="76">
        <f>sum(M12:M14)-average(G12,M12)-M13-G14</f>
        <v>6401.6</v>
      </c>
    </row>
    <row r="16">
      <c r="A16" s="78"/>
      <c r="B16" s="79" t="s">
        <v>46</v>
      </c>
      <c r="C16" s="80">
        <f t="shared" ref="C16:F16" si="8">average(C12,I12)+C13+I14</f>
        <v>48427.6</v>
      </c>
      <c r="D16" s="81">
        <f t="shared" si="8"/>
        <v>500</v>
      </c>
      <c r="E16" s="81">
        <f t="shared" si="8"/>
        <v>26545</v>
      </c>
      <c r="F16" s="81">
        <f t="shared" si="8"/>
        <v>70263</v>
      </c>
      <c r="G16" s="82">
        <f>sum(C16:F16)</f>
        <v>145735.6</v>
      </c>
      <c r="H16" s="83"/>
      <c r="I16" s="86">
        <f t="shared" ref="I16:L16" si="9">average(C12,I12)+I13+C14</f>
        <v>50099.6</v>
      </c>
      <c r="J16" s="87">
        <f t="shared" si="9"/>
        <v>1500</v>
      </c>
      <c r="K16" s="87">
        <f t="shared" si="9"/>
        <v>1000</v>
      </c>
      <c r="L16" s="87">
        <f t="shared" si="9"/>
        <v>57998</v>
      </c>
      <c r="M16" s="89">
        <f t="shared" ref="M16:M19" si="10">sum(I16:L16)</f>
        <v>110597.6</v>
      </c>
    </row>
    <row r="17">
      <c r="A17" s="90" t="s">
        <v>49</v>
      </c>
      <c r="B17" s="91" t="s">
        <v>42</v>
      </c>
      <c r="C17" s="65">
        <f>IFERROR(__xludf.DUMMYFUNCTION("importrange(""https://docs.google.com/spreadsheets/d/1dLfYOQFpigEZqlGDoVEu7D9_cKDGOeJRpdvNOIy6BX0/edit#gid=1309682809"",""消费总计2021!c17:g19"")"),4259.0)</f>
        <v>4259</v>
      </c>
      <c r="D17" s="66">
        <f>IFERROR(__xludf.DUMMYFUNCTION("""COMPUTED_VALUE"""),0.0)</f>
        <v>0</v>
      </c>
      <c r="E17" s="66">
        <f>IFERROR(__xludf.DUMMYFUNCTION("""COMPUTED_VALUE"""),0.0)</f>
        <v>0</v>
      </c>
      <c r="F17" s="66">
        <f>IFERROR(__xludf.DUMMYFUNCTION("""COMPUTED_VALUE"""),67100.0)</f>
        <v>67100</v>
      </c>
      <c r="G17" s="67">
        <f>IFERROR(__xludf.DUMMYFUNCTION("""COMPUTED_VALUE"""),71359.0)</f>
        <v>71359</v>
      </c>
      <c r="H17" s="68"/>
      <c r="I17" s="60">
        <f>sumif('202104'!$M$3:$M$200,"共同",'202104'!N$3:N$200)</f>
        <v>93497.32</v>
      </c>
      <c r="J17" s="61">
        <f>sumif('202104'!$M$3:$M$200,"共同",'202104'!O$3:O$200)</f>
        <v>0</v>
      </c>
      <c r="K17" s="61">
        <f>sumif('202104'!$M$3:$M$200,"共同",'202104'!P$3:P$200)</f>
        <v>3930</v>
      </c>
      <c r="L17" s="61">
        <f>sumif('202104'!$M$3:$M$200,"共同",'202104'!Q$3:Q$200)</f>
        <v>11472</v>
      </c>
      <c r="M17" s="62">
        <f t="shared" si="10"/>
        <v>108899.32</v>
      </c>
    </row>
    <row r="18">
      <c r="A18" s="63"/>
      <c r="B18" s="64" t="s">
        <v>43</v>
      </c>
      <c r="C18" s="65">
        <f>IFERROR(__xludf.DUMMYFUNCTION("""COMPUTED_VALUE"""),0.0)</f>
        <v>0</v>
      </c>
      <c r="D18" s="66">
        <f>IFERROR(__xludf.DUMMYFUNCTION("""COMPUTED_VALUE"""),0.0)</f>
        <v>0</v>
      </c>
      <c r="E18" s="66">
        <f>IFERROR(__xludf.DUMMYFUNCTION("""COMPUTED_VALUE"""),45371.0)</f>
        <v>45371</v>
      </c>
      <c r="F18" s="66">
        <f>IFERROR(__xludf.DUMMYFUNCTION("""COMPUTED_VALUE"""),13940.0)</f>
        <v>13940</v>
      </c>
      <c r="G18" s="67">
        <f>IFERROR(__xludf.DUMMYFUNCTION("""COMPUTED_VALUE"""),59311.0)</f>
        <v>59311</v>
      </c>
      <c r="H18" s="68"/>
      <c r="I18" s="69">
        <f>sumif('202104'!$M$3:$M$200,"大兔",'202104'!N$3:N$200)</f>
        <v>0</v>
      </c>
      <c r="J18" s="70">
        <f>sumif('202104'!$M$3:$M$200,"大兔",'202104'!O$3:O$200)</f>
        <v>0</v>
      </c>
      <c r="K18" s="70">
        <f>sumif('202104'!$M$3:$M$200,"大兔",'202104'!P$3:P$200)</f>
        <v>0</v>
      </c>
      <c r="L18" s="70">
        <f>sumif('202104'!$M$3:$M$200,"大兔",'202104'!Q$3:Q$200)</f>
        <v>0</v>
      </c>
      <c r="M18" s="71">
        <f t="shared" si="10"/>
        <v>0</v>
      </c>
    </row>
    <row r="19">
      <c r="A19" s="63"/>
      <c r="B19" s="64" t="s">
        <v>44</v>
      </c>
      <c r="C19" s="65">
        <f>IFERROR(__xludf.DUMMYFUNCTION("""COMPUTED_VALUE"""),0.0)</f>
        <v>0</v>
      </c>
      <c r="D19" s="66">
        <f>IFERROR(__xludf.DUMMYFUNCTION("""COMPUTED_VALUE"""),0.0)</f>
        <v>0</v>
      </c>
      <c r="E19" s="66">
        <f>IFERROR(__xludf.DUMMYFUNCTION("""COMPUTED_VALUE"""),0.0)</f>
        <v>0</v>
      </c>
      <c r="F19" s="66">
        <f>IFERROR(__xludf.DUMMYFUNCTION("""COMPUTED_VALUE"""),0.0)</f>
        <v>0</v>
      </c>
      <c r="G19" s="67">
        <f>IFERROR(__xludf.DUMMYFUNCTION("""COMPUTED_VALUE"""),0.0)</f>
        <v>0</v>
      </c>
      <c r="H19" s="68"/>
      <c r="I19" s="69">
        <f>sumif('202104'!$M$3:$M$200,"小兔",'202104'!N$3:N$200)</f>
        <v>0</v>
      </c>
      <c r="J19" s="70">
        <f>sumif('202104'!$M$3:$M$200,"小兔",'202104'!O$3:O$200)</f>
        <v>0</v>
      </c>
      <c r="K19" s="70">
        <f>sumif('202104'!$M$3:$M$200,"小兔",'202104'!P$3:P$200)</f>
        <v>0</v>
      </c>
      <c r="L19" s="70">
        <f>sumif('202104'!$M$3:$M$200,"小兔",'202104'!Q$3:Q$200)</f>
        <v>0</v>
      </c>
      <c r="M19" s="71">
        <f t="shared" si="10"/>
        <v>0</v>
      </c>
    </row>
    <row r="20">
      <c r="A20" s="63"/>
      <c r="B20" s="64" t="s">
        <v>45</v>
      </c>
      <c r="C20" s="74" t="s">
        <v>30</v>
      </c>
      <c r="D20" s="75" t="s">
        <v>30</v>
      </c>
      <c r="E20" s="75" t="s">
        <v>30</v>
      </c>
      <c r="F20" s="75" t="s">
        <v>30</v>
      </c>
      <c r="G20" s="76">
        <f>sum(G17:G19)-average(G17,M17)-G18-M19</f>
        <v>-18770.16</v>
      </c>
      <c r="H20" s="77"/>
      <c r="I20" s="74" t="s">
        <v>30</v>
      </c>
      <c r="J20" s="75" t="s">
        <v>30</v>
      </c>
      <c r="K20" s="75" t="s">
        <v>30</v>
      </c>
      <c r="L20" s="75" t="s">
        <v>30</v>
      </c>
      <c r="M20" s="76">
        <f>sum(M17:M19)-average(G17,M17)-M18-G19</f>
        <v>18770.16</v>
      </c>
    </row>
    <row r="21">
      <c r="A21" s="63"/>
      <c r="B21" s="64" t="s">
        <v>46</v>
      </c>
      <c r="C21" s="86">
        <f t="shared" ref="C21:F21" si="11">average(C17,I17)+C18+I19</f>
        <v>48878.16</v>
      </c>
      <c r="D21" s="87">
        <f t="shared" si="11"/>
        <v>0</v>
      </c>
      <c r="E21" s="87">
        <f t="shared" si="11"/>
        <v>47336</v>
      </c>
      <c r="F21" s="87">
        <f t="shared" si="11"/>
        <v>53226</v>
      </c>
      <c r="G21" s="89">
        <f>sum(C21:F21)</f>
        <v>149440.16</v>
      </c>
      <c r="H21" s="77"/>
      <c r="I21" s="80">
        <f t="shared" ref="I21:L21" si="12">average(C17,I17)+I18+C19</f>
        <v>48878.16</v>
      </c>
      <c r="J21" s="81">
        <f t="shared" si="12"/>
        <v>0</v>
      </c>
      <c r="K21" s="81">
        <f t="shared" si="12"/>
        <v>1965</v>
      </c>
      <c r="L21" s="81">
        <f t="shared" si="12"/>
        <v>39286</v>
      </c>
      <c r="M21" s="82">
        <f t="shared" ref="M21:M24" si="13">sum(I21:L21)</f>
        <v>90129.16</v>
      </c>
    </row>
    <row r="22">
      <c r="A22" s="88" t="s">
        <v>50</v>
      </c>
      <c r="B22" s="55" t="s">
        <v>42</v>
      </c>
      <c r="C22" s="92">
        <f>IFERROR(__xludf.DUMMYFUNCTION("importrange(""https://docs.google.com/spreadsheets/d/1dLfYOQFpigEZqlGDoVEu7D9_cKDGOeJRpdvNOIy6BX0/edit#gid=1309682809"",""消费总计2021!c22:g24"")"),14445.0)</f>
        <v>14445</v>
      </c>
      <c r="D22" s="93">
        <f>IFERROR(__xludf.DUMMYFUNCTION("""COMPUTED_VALUE"""),0.0)</f>
        <v>0</v>
      </c>
      <c r="E22" s="93">
        <f>IFERROR(__xludf.DUMMYFUNCTION("""COMPUTED_VALUE"""),12496.0)</f>
        <v>12496</v>
      </c>
      <c r="F22" s="93">
        <f>IFERROR(__xludf.DUMMYFUNCTION("""COMPUTED_VALUE"""),73180.0)</f>
        <v>73180</v>
      </c>
      <c r="G22" s="94">
        <f>IFERROR(__xludf.DUMMYFUNCTION("""COMPUTED_VALUE"""),100121.0)</f>
        <v>100121</v>
      </c>
      <c r="H22" s="95"/>
      <c r="I22" s="60">
        <f>sumif('202105'!$M$3:$M$200,"共同",'202105'!N$3:N$200)</f>
        <v>76370</v>
      </c>
      <c r="J22" s="61">
        <f>sumif('202105'!$M$3:$M$200,"共同",'202105'!O$3:O$200)</f>
        <v>0</v>
      </c>
      <c r="K22" s="61">
        <f>sumif('202105'!$M$3:$M$200,"共同",'202105'!P$3:P$200)</f>
        <v>0</v>
      </c>
      <c r="L22" s="61">
        <f>sumif('202105'!$M$3:$M$200,"共同",'202105'!Q$3:Q$200)</f>
        <v>1670</v>
      </c>
      <c r="M22" s="62">
        <f t="shared" si="13"/>
        <v>78040</v>
      </c>
    </row>
    <row r="23">
      <c r="A23" s="63"/>
      <c r="B23" s="64" t="s">
        <v>43</v>
      </c>
      <c r="C23" s="96">
        <f>IFERROR(__xludf.DUMMYFUNCTION("""COMPUTED_VALUE"""),0.0)</f>
        <v>0</v>
      </c>
      <c r="D23" s="97">
        <f>IFERROR(__xludf.DUMMYFUNCTION("""COMPUTED_VALUE"""),0.0)</f>
        <v>0</v>
      </c>
      <c r="E23" s="97">
        <f>IFERROR(__xludf.DUMMYFUNCTION("""COMPUTED_VALUE"""),0.0)</f>
        <v>0</v>
      </c>
      <c r="F23" s="97">
        <f>IFERROR(__xludf.DUMMYFUNCTION("""COMPUTED_VALUE"""),403.0)</f>
        <v>403</v>
      </c>
      <c r="G23" s="98">
        <f>IFERROR(__xludf.DUMMYFUNCTION("""COMPUTED_VALUE"""),403.0)</f>
        <v>403</v>
      </c>
      <c r="H23" s="99"/>
      <c r="I23" s="69">
        <f>sumif('202105'!$M$3:$M$200,"大兔",'202105'!N$3:N$200)</f>
        <v>0</v>
      </c>
      <c r="J23" s="70">
        <f>sumif('202105'!$M$3:$M$200,"大兔",'202105'!O$3:O$200)</f>
        <v>0</v>
      </c>
      <c r="K23" s="70">
        <f>sumif('202105'!$M$3:$M$200,"大兔",'202105'!P$3:P$200)</f>
        <v>28896</v>
      </c>
      <c r="L23" s="70">
        <f>sumif('202105'!$M$3:$M$200,"大兔",'202105'!Q$3:Q$200)</f>
        <v>166.72</v>
      </c>
      <c r="M23" s="71">
        <f t="shared" si="13"/>
        <v>29062.72</v>
      </c>
    </row>
    <row r="24">
      <c r="A24" s="63"/>
      <c r="B24" s="64" t="s">
        <v>44</v>
      </c>
      <c r="C24" s="96">
        <f>IFERROR(__xludf.DUMMYFUNCTION("""COMPUTED_VALUE"""),0.0)</f>
        <v>0</v>
      </c>
      <c r="D24" s="97">
        <f>IFERROR(__xludf.DUMMYFUNCTION("""COMPUTED_VALUE"""),0.0)</f>
        <v>0</v>
      </c>
      <c r="E24" s="97">
        <f>IFERROR(__xludf.DUMMYFUNCTION("""COMPUTED_VALUE"""),0.0)</f>
        <v>0</v>
      </c>
      <c r="F24" s="97">
        <f>IFERROR(__xludf.DUMMYFUNCTION("""COMPUTED_VALUE"""),0.0)</f>
        <v>0</v>
      </c>
      <c r="G24" s="98">
        <f>IFERROR(__xludf.DUMMYFUNCTION("""COMPUTED_VALUE"""),0.0)</f>
        <v>0</v>
      </c>
      <c r="H24" s="99"/>
      <c r="I24" s="69">
        <f>sumif('202105'!$M$3:$M$200,"小兔",'202105'!N$3:N$200)</f>
        <v>0</v>
      </c>
      <c r="J24" s="70">
        <f>sumif('202105'!$M$3:$M$200,"小兔",'202105'!O$3:O$200)</f>
        <v>0</v>
      </c>
      <c r="K24" s="70">
        <f>sumif('202105'!$M$3:$M$200,"小兔",'202105'!P$3:P$200)</f>
        <v>60261.76</v>
      </c>
      <c r="L24" s="70">
        <f>sumif('202105'!$M$3:$M$200,"小兔",'202105'!Q$3:Q$200)</f>
        <v>0</v>
      </c>
      <c r="M24" s="71">
        <f t="shared" si="13"/>
        <v>60261.76</v>
      </c>
    </row>
    <row r="25">
      <c r="A25" s="63"/>
      <c r="B25" s="64" t="s">
        <v>45</v>
      </c>
      <c r="C25" s="100" t="s">
        <v>30</v>
      </c>
      <c r="D25" s="101" t="s">
        <v>30</v>
      </c>
      <c r="E25" s="101" t="s">
        <v>30</v>
      </c>
      <c r="F25" s="101" t="s">
        <v>30</v>
      </c>
      <c r="G25" s="102">
        <f>sum(G22:G24)-average(G22,M22)-G23-M24</f>
        <v>-49221.26</v>
      </c>
      <c r="H25" s="103"/>
      <c r="I25" s="74" t="s">
        <v>30</v>
      </c>
      <c r="J25" s="75" t="s">
        <v>30</v>
      </c>
      <c r="K25" s="75" t="s">
        <v>30</v>
      </c>
      <c r="L25" s="75" t="s">
        <v>30</v>
      </c>
      <c r="M25" s="76">
        <f>sum(M22:M24)-average(G22,M22)-M23-G24</f>
        <v>49221.26</v>
      </c>
    </row>
    <row r="26">
      <c r="A26" s="84"/>
      <c r="B26" s="85" t="s">
        <v>46</v>
      </c>
      <c r="C26" s="104">
        <f t="shared" ref="C26:F26" si="14">average(C22,I22)+C23+I24</f>
        <v>45407.5</v>
      </c>
      <c r="D26" s="105">
        <f t="shared" si="14"/>
        <v>0</v>
      </c>
      <c r="E26" s="105">
        <f t="shared" si="14"/>
        <v>66509.76</v>
      </c>
      <c r="F26" s="105">
        <f t="shared" si="14"/>
        <v>37828</v>
      </c>
      <c r="G26" s="106">
        <f>sum(C26:F26)</f>
        <v>149745.26</v>
      </c>
      <c r="H26" s="107"/>
      <c r="I26" s="86">
        <f t="shared" ref="I26:L26" si="15">average(C22,I22)+I23+C24</f>
        <v>45407.5</v>
      </c>
      <c r="J26" s="87">
        <f t="shared" si="15"/>
        <v>0</v>
      </c>
      <c r="K26" s="87">
        <f t="shared" si="15"/>
        <v>35144</v>
      </c>
      <c r="L26" s="87">
        <f t="shared" si="15"/>
        <v>37591.72</v>
      </c>
      <c r="M26" s="89">
        <f t="shared" ref="M26:M29" si="16">sum(I26:L26)</f>
        <v>118143.22</v>
      </c>
    </row>
    <row r="27">
      <c r="A27" s="90" t="s">
        <v>51</v>
      </c>
      <c r="B27" s="91" t="s">
        <v>42</v>
      </c>
      <c r="C27" s="92">
        <f>IFERROR(__xludf.DUMMYFUNCTION("importrange(""https://docs.google.com/spreadsheets/d/1dLfYOQFpigEZqlGDoVEu7D9_cKDGOeJRpdvNOIy6BX0/edit#gid=1309682809"",""消费总计2021!c27:g29"")"),4039.0)</f>
        <v>4039</v>
      </c>
      <c r="D27" s="93">
        <f>IFERROR(__xludf.DUMMYFUNCTION("""COMPUTED_VALUE"""),0.0)</f>
        <v>0</v>
      </c>
      <c r="E27" s="93">
        <f>IFERROR(__xludf.DUMMYFUNCTION("""COMPUTED_VALUE"""),0.0)</f>
        <v>0</v>
      </c>
      <c r="F27" s="93">
        <f>IFERROR(__xludf.DUMMYFUNCTION("""COMPUTED_VALUE"""),77489.0)</f>
        <v>77489</v>
      </c>
      <c r="G27" s="94">
        <f>IFERROR(__xludf.DUMMYFUNCTION("""COMPUTED_VALUE"""),81528.0)</f>
        <v>81528</v>
      </c>
      <c r="H27" s="95"/>
      <c r="I27" s="60">
        <f>sumif('202106'!$M$3:$M$200,"共同",'202106'!N$3:N$200)</f>
        <v>90611.84</v>
      </c>
      <c r="J27" s="61">
        <f>sumif('202106'!$M$3:$M$200,"共同",'202106'!O$3:O$200)</f>
        <v>0</v>
      </c>
      <c r="K27" s="61">
        <f>sumif('202106'!$M$3:$M$200,"共同",'202106'!P$3:P$200)</f>
        <v>7815</v>
      </c>
      <c r="L27" s="61">
        <f>sumif('202106'!$M$3:$M$200,"共同",'202106'!Q$3:Q$200)</f>
        <v>10813.52</v>
      </c>
      <c r="M27" s="62">
        <f t="shared" si="16"/>
        <v>109240.36</v>
      </c>
    </row>
    <row r="28">
      <c r="A28" s="63"/>
      <c r="B28" s="64" t="s">
        <v>43</v>
      </c>
      <c r="C28" s="96">
        <f>IFERROR(__xludf.DUMMYFUNCTION("""COMPUTED_VALUE"""),0.0)</f>
        <v>0</v>
      </c>
      <c r="D28" s="97">
        <f>IFERROR(__xludf.DUMMYFUNCTION("""COMPUTED_VALUE"""),0.0)</f>
        <v>0</v>
      </c>
      <c r="E28" s="97">
        <f>IFERROR(__xludf.DUMMYFUNCTION("""COMPUTED_VALUE"""),8545.0)</f>
        <v>8545</v>
      </c>
      <c r="F28" s="97">
        <f>IFERROR(__xludf.DUMMYFUNCTION("""COMPUTED_VALUE"""),9844.0)</f>
        <v>9844</v>
      </c>
      <c r="G28" s="98">
        <f>IFERROR(__xludf.DUMMYFUNCTION("""COMPUTED_VALUE"""),18389.0)</f>
        <v>18389</v>
      </c>
      <c r="H28" s="99"/>
      <c r="I28" s="69">
        <f>sumif('202106'!$M$3:$M$200,"大兔",'202106'!N$3:N$200)</f>
        <v>0</v>
      </c>
      <c r="J28" s="70">
        <f>sumif('202106'!$M$3:$M$200,"大兔",'202106'!O$3:O$200)</f>
        <v>0</v>
      </c>
      <c r="K28" s="70">
        <f>sumif('202106'!$M$3:$M$200,"大兔",'202106'!P$3:P$200)</f>
        <v>0</v>
      </c>
      <c r="L28" s="70">
        <f>sumif('202106'!$M$3:$M$200,"大兔",'202106'!Q$3:Q$200)</f>
        <v>8916</v>
      </c>
      <c r="M28" s="71">
        <f t="shared" si="16"/>
        <v>8916</v>
      </c>
    </row>
    <row r="29">
      <c r="A29" s="63"/>
      <c r="B29" s="64" t="s">
        <v>44</v>
      </c>
      <c r="C29" s="96">
        <f>IFERROR(__xludf.DUMMYFUNCTION("""COMPUTED_VALUE"""),0.0)</f>
        <v>0</v>
      </c>
      <c r="D29" s="97">
        <f>IFERROR(__xludf.DUMMYFUNCTION("""COMPUTED_VALUE"""),0.0)</f>
        <v>0</v>
      </c>
      <c r="E29" s="97">
        <f>IFERROR(__xludf.DUMMYFUNCTION("""COMPUTED_VALUE"""),0.0)</f>
        <v>0</v>
      </c>
      <c r="F29" s="97">
        <f>IFERROR(__xludf.DUMMYFUNCTION("""COMPUTED_VALUE"""),0.0)</f>
        <v>0</v>
      </c>
      <c r="G29" s="98">
        <f>IFERROR(__xludf.DUMMYFUNCTION("""COMPUTED_VALUE"""),0.0)</f>
        <v>0</v>
      </c>
      <c r="H29" s="99"/>
      <c r="I29" s="69">
        <f>sumif('202106'!$M$3:$M$200,"小兔",'202106'!N$3:N$200)</f>
        <v>0</v>
      </c>
      <c r="J29" s="70">
        <f>sumif('202106'!$M$3:$M$200,"小兔",'202106'!O$3:O$200)</f>
        <v>0</v>
      </c>
      <c r="K29" s="70">
        <f>sumif('202106'!$M$3:$M$200,"小兔",'202106'!P$3:P$200)</f>
        <v>10099.6</v>
      </c>
      <c r="L29" s="70">
        <f>sumif('202106'!$M$3:$M$200,"小兔",'202106'!Q$3:Q$200)</f>
        <v>0</v>
      </c>
      <c r="M29" s="71">
        <f t="shared" si="16"/>
        <v>10099.6</v>
      </c>
    </row>
    <row r="30">
      <c r="A30" s="63"/>
      <c r="B30" s="64" t="s">
        <v>45</v>
      </c>
      <c r="C30" s="100" t="s">
        <v>30</v>
      </c>
      <c r="D30" s="101" t="s">
        <v>30</v>
      </c>
      <c r="E30" s="101" t="s">
        <v>30</v>
      </c>
      <c r="F30" s="101" t="s">
        <v>30</v>
      </c>
      <c r="G30" s="102">
        <f>sum(G27:G29)-average(G27,M27)-G28-M29</f>
        <v>-23955.78</v>
      </c>
      <c r="H30" s="103"/>
      <c r="I30" s="74" t="s">
        <v>30</v>
      </c>
      <c r="J30" s="75" t="s">
        <v>30</v>
      </c>
      <c r="K30" s="75" t="s">
        <v>30</v>
      </c>
      <c r="L30" s="75" t="s">
        <v>30</v>
      </c>
      <c r="M30" s="76">
        <f>sum(M27:M29)-average(G27,M27)-M28-G29</f>
        <v>23955.78</v>
      </c>
    </row>
    <row r="31">
      <c r="A31" s="63"/>
      <c r="B31" s="64" t="s">
        <v>46</v>
      </c>
      <c r="C31" s="104">
        <f t="shared" ref="C31:F31" si="17">average(C27,I27)+C28+I29</f>
        <v>47325.42</v>
      </c>
      <c r="D31" s="105">
        <f t="shared" si="17"/>
        <v>0</v>
      </c>
      <c r="E31" s="105">
        <f t="shared" si="17"/>
        <v>22552.1</v>
      </c>
      <c r="F31" s="105">
        <f t="shared" si="17"/>
        <v>53995.26</v>
      </c>
      <c r="G31" s="106">
        <f>sum(C31:F31)</f>
        <v>123872.78</v>
      </c>
      <c r="H31" s="107"/>
      <c r="I31" s="80">
        <f t="shared" ref="I31:L31" si="18">average(C27,I27)+I28+C29</f>
        <v>47325.42</v>
      </c>
      <c r="J31" s="81">
        <f t="shared" si="18"/>
        <v>0</v>
      </c>
      <c r="K31" s="81">
        <f t="shared" si="18"/>
        <v>3907.5</v>
      </c>
      <c r="L31" s="81">
        <f t="shared" si="18"/>
        <v>53067.26</v>
      </c>
      <c r="M31" s="82">
        <f t="shared" ref="M31:M34" si="19">sum(I31:L31)</f>
        <v>104300.18</v>
      </c>
    </row>
    <row r="32">
      <c r="A32" s="88" t="s">
        <v>52</v>
      </c>
      <c r="B32" s="55" t="s">
        <v>42</v>
      </c>
      <c r="C32" s="92">
        <f>IFERROR(__xludf.DUMMYFUNCTION("importrange(""https://docs.google.com/spreadsheets/d/1dLfYOQFpigEZqlGDoVEu7D9_cKDGOeJRpdvNOIy6BX0/edit#gid=1309682809"",""消费总计2021!c32:g34"")"),8864.0)</f>
        <v>8864</v>
      </c>
      <c r="D32" s="93">
        <f>IFERROR(__xludf.DUMMYFUNCTION("""COMPUTED_VALUE"""),0.0)</f>
        <v>0</v>
      </c>
      <c r="E32" s="93">
        <f>IFERROR(__xludf.DUMMYFUNCTION("""COMPUTED_VALUE"""),0.0)</f>
        <v>0</v>
      </c>
      <c r="F32" s="93">
        <f>IFERROR(__xludf.DUMMYFUNCTION("""COMPUTED_VALUE"""),73416.0)</f>
        <v>73416</v>
      </c>
      <c r="G32" s="94">
        <f>IFERROR(__xludf.DUMMYFUNCTION("""COMPUTED_VALUE"""),82280.0)</f>
        <v>82280</v>
      </c>
      <c r="H32" s="95"/>
      <c r="I32" s="69">
        <f>sumif('202107'!$M$3:$M$200,"共同",'202107'!N$3:N$200)</f>
        <v>95898.76</v>
      </c>
      <c r="J32" s="70">
        <f>sumif('202107'!$M$3:$M$200,"共同",'202107'!O$3:O$200)</f>
        <v>0</v>
      </c>
      <c r="K32" s="70">
        <f>sumif('202107'!$M$3:$M$200,"共同",'202107'!P$3:P$200)</f>
        <v>0</v>
      </c>
      <c r="L32" s="70">
        <f>sumif('202107'!$M$3:$M$200,"共同",'202107'!Q$3:Q$200)</f>
        <v>3078</v>
      </c>
      <c r="M32" s="71">
        <f t="shared" si="19"/>
        <v>98976.76</v>
      </c>
    </row>
    <row r="33">
      <c r="A33" s="63"/>
      <c r="B33" s="64" t="s">
        <v>43</v>
      </c>
      <c r="C33" s="96">
        <f>IFERROR(__xludf.DUMMYFUNCTION("""COMPUTED_VALUE"""),0.0)</f>
        <v>0</v>
      </c>
      <c r="D33" s="97">
        <f>IFERROR(__xludf.DUMMYFUNCTION("""COMPUTED_VALUE"""),0.0)</f>
        <v>0</v>
      </c>
      <c r="E33" s="97">
        <f>IFERROR(__xludf.DUMMYFUNCTION("""COMPUTED_VALUE"""),4592.0)</f>
        <v>4592</v>
      </c>
      <c r="F33" s="97">
        <f>IFERROR(__xludf.DUMMYFUNCTION("""COMPUTED_VALUE"""),9923.0)</f>
        <v>9923</v>
      </c>
      <c r="G33" s="98">
        <f>IFERROR(__xludf.DUMMYFUNCTION("""COMPUTED_VALUE"""),14515.0)</f>
        <v>14515</v>
      </c>
      <c r="H33" s="99"/>
      <c r="I33" s="69">
        <f>sumif('202107'!$M$3:$M$200,"大兔",'202107'!N$3:N$200)</f>
        <v>0</v>
      </c>
      <c r="J33" s="70">
        <f>sumif('202107'!$M$3:$M$200,"大兔",'202107'!O$3:O$200)</f>
        <v>0</v>
      </c>
      <c r="K33" s="70">
        <f>sumif('202107'!$M$3:$M$200,"大兔",'202107'!P$3:P$200)</f>
        <v>0</v>
      </c>
      <c r="L33" s="70">
        <f>sumif('202107'!$M$3:$M$200,"大兔",'202107'!Q$3:Q$200)</f>
        <v>1904</v>
      </c>
      <c r="M33" s="71">
        <f t="shared" si="19"/>
        <v>1904</v>
      </c>
    </row>
    <row r="34">
      <c r="A34" s="63"/>
      <c r="B34" s="64" t="s">
        <v>44</v>
      </c>
      <c r="C34" s="96">
        <f>IFERROR(__xludf.DUMMYFUNCTION("""COMPUTED_VALUE"""),0.0)</f>
        <v>0</v>
      </c>
      <c r="D34" s="97">
        <f>IFERROR(__xludf.DUMMYFUNCTION("""COMPUTED_VALUE"""),0.0)</f>
        <v>0</v>
      </c>
      <c r="E34" s="97">
        <f>IFERROR(__xludf.DUMMYFUNCTION("""COMPUTED_VALUE"""),500.0)</f>
        <v>500</v>
      </c>
      <c r="F34" s="97">
        <f>IFERROR(__xludf.DUMMYFUNCTION("""COMPUTED_VALUE"""),0.0)</f>
        <v>0</v>
      </c>
      <c r="G34" s="98">
        <f>IFERROR(__xludf.DUMMYFUNCTION("""COMPUTED_VALUE"""),500.0)</f>
        <v>500</v>
      </c>
      <c r="H34" s="99"/>
      <c r="I34" s="69">
        <f>sumif('202107'!$M$3:$M$200,"小兔",'202107'!N$3:N$200)</f>
        <v>0</v>
      </c>
      <c r="J34" s="70">
        <f>sumif('202107'!$M$3:$M$200,"小兔",'202107'!O$3:O$200)</f>
        <v>0</v>
      </c>
      <c r="K34" s="70">
        <f>sumif('202107'!$M$3:$M$200,"小兔",'202107'!P$3:P$200)</f>
        <v>3731</v>
      </c>
      <c r="L34" s="70">
        <f>sumif('202107'!$M$3:$M$200,"小兔",'202107'!Q$3:Q$200)</f>
        <v>0</v>
      </c>
      <c r="M34" s="71">
        <f t="shared" si="19"/>
        <v>3731</v>
      </c>
    </row>
    <row r="35">
      <c r="A35" s="63"/>
      <c r="B35" s="64" t="s">
        <v>45</v>
      </c>
      <c r="C35" s="100" t="s">
        <v>30</v>
      </c>
      <c r="D35" s="101" t="s">
        <v>30</v>
      </c>
      <c r="E35" s="101" t="s">
        <v>30</v>
      </c>
      <c r="F35" s="101" t="s">
        <v>30</v>
      </c>
      <c r="G35" s="102">
        <f>sum(G32:G34)-average(G32,M32)-G33-M34</f>
        <v>-11579.38</v>
      </c>
      <c r="H35" s="103"/>
      <c r="I35" s="74" t="s">
        <v>30</v>
      </c>
      <c r="J35" s="75" t="s">
        <v>30</v>
      </c>
      <c r="K35" s="75" t="s">
        <v>30</v>
      </c>
      <c r="L35" s="75" t="s">
        <v>30</v>
      </c>
      <c r="M35" s="76">
        <f>sum(M32:M34)-average(G32,M32)-M33-G34</f>
        <v>11579.38</v>
      </c>
    </row>
    <row r="36">
      <c r="A36" s="84"/>
      <c r="B36" s="85" t="s">
        <v>46</v>
      </c>
      <c r="C36" s="104">
        <f t="shared" ref="C36:F36" si="20">average(C32,I32)+C33+I34</f>
        <v>52381.38</v>
      </c>
      <c r="D36" s="105">
        <f t="shared" si="20"/>
        <v>0</v>
      </c>
      <c r="E36" s="105">
        <f t="shared" si="20"/>
        <v>8323</v>
      </c>
      <c r="F36" s="105">
        <f t="shared" si="20"/>
        <v>48170</v>
      </c>
      <c r="G36" s="106">
        <f>sum(C36:F36)</f>
        <v>108874.38</v>
      </c>
      <c r="H36" s="107"/>
      <c r="I36" s="80">
        <f t="shared" ref="I36:L36" si="21">average(C32,I32)+I33+C34</f>
        <v>52381.38</v>
      </c>
      <c r="J36" s="81">
        <f t="shared" si="21"/>
        <v>0</v>
      </c>
      <c r="K36" s="81">
        <f t="shared" si="21"/>
        <v>500</v>
      </c>
      <c r="L36" s="81">
        <f t="shared" si="21"/>
        <v>40151</v>
      </c>
      <c r="M36" s="82">
        <f t="shared" ref="M36:M39" si="22">sum(I36:L36)</f>
        <v>93032.38</v>
      </c>
    </row>
    <row r="37">
      <c r="A37" s="90" t="s">
        <v>53</v>
      </c>
      <c r="B37" s="91" t="s">
        <v>42</v>
      </c>
      <c r="C37" s="92">
        <f>IFERROR(__xludf.DUMMYFUNCTION("importrange(""https://docs.google.com/spreadsheets/d/1dLfYOQFpigEZqlGDoVEu7D9_cKDGOeJRpdvNOIy6BX0/edit#gid=1309682809"",""消费总计2021!c37:g39"")"),165.0)</f>
        <v>165</v>
      </c>
      <c r="D37" s="93">
        <f>IFERROR(__xludf.DUMMYFUNCTION("""COMPUTED_VALUE"""),0.0)</f>
        <v>0</v>
      </c>
      <c r="E37" s="93">
        <f>IFERROR(__xludf.DUMMYFUNCTION("""COMPUTED_VALUE"""),0.0)</f>
        <v>0</v>
      </c>
      <c r="F37" s="93">
        <f>IFERROR(__xludf.DUMMYFUNCTION("""COMPUTED_VALUE"""),94839.0)</f>
        <v>94839</v>
      </c>
      <c r="G37" s="94">
        <f>IFERROR(__xludf.DUMMYFUNCTION("""COMPUTED_VALUE"""),95004.0)</f>
        <v>95004</v>
      </c>
      <c r="H37" s="95"/>
      <c r="I37" s="69">
        <f>ifna(sumif('202108'!$M$3:$M$200,"共同",'202108'!N$3:N$200),0)</f>
        <v>104482.4</v>
      </c>
      <c r="J37" s="70">
        <f>ifna(sumif('202108'!$M$3:$M$200,"共同",'202108'!O$3:O$200),0)</f>
        <v>3200</v>
      </c>
      <c r="K37" s="70">
        <f>ifna(sumif('202108'!$M$3:$M$200,"共同",'202108'!P$3:P$200),0)</f>
        <v>1320</v>
      </c>
      <c r="L37" s="70">
        <f>ifna(sumif('202108'!$M$3:$M$200,"共同",'202108'!Q$3:Q$200),0)</f>
        <v>8627</v>
      </c>
      <c r="M37" s="71">
        <f t="shared" si="22"/>
        <v>117629.4</v>
      </c>
    </row>
    <row r="38">
      <c r="A38" s="63"/>
      <c r="B38" s="64" t="s">
        <v>43</v>
      </c>
      <c r="C38" s="96">
        <f>IFERROR(__xludf.DUMMYFUNCTION("""COMPUTED_VALUE"""),0.0)</f>
        <v>0</v>
      </c>
      <c r="D38" s="97">
        <f>IFERROR(__xludf.DUMMYFUNCTION("""COMPUTED_VALUE"""),0.0)</f>
        <v>0</v>
      </c>
      <c r="E38" s="97">
        <f>IFERROR(__xludf.DUMMYFUNCTION("""COMPUTED_VALUE"""),0.0)</f>
        <v>0</v>
      </c>
      <c r="F38" s="97">
        <f>IFERROR(__xludf.DUMMYFUNCTION("""COMPUTED_VALUE"""),17578.0)</f>
        <v>17578</v>
      </c>
      <c r="G38" s="98">
        <f>IFERROR(__xludf.DUMMYFUNCTION("""COMPUTED_VALUE"""),17578.0)</f>
        <v>17578</v>
      </c>
      <c r="H38" s="99"/>
      <c r="I38" s="69">
        <f>ifna(sumif('202108'!$M$3:$M$200,"大兔",'202108'!N$3:N$200),0)</f>
        <v>313</v>
      </c>
      <c r="J38" s="70">
        <f>ifna(sumif('202108'!$M$3:$M$200,"大兔",'202108'!O$3:O$200),0)</f>
        <v>0</v>
      </c>
      <c r="K38" s="70">
        <f>ifna(sumif('202108'!$M$3:$M$200,"大兔",'202108'!P$3:P$200),0)</f>
        <v>0</v>
      </c>
      <c r="L38" s="70">
        <f>ifna(sumif('202108'!$M$3:$M$200,"大兔",'202108'!Q$3:Q$200),0)</f>
        <v>6204</v>
      </c>
      <c r="M38" s="71">
        <f t="shared" si="22"/>
        <v>6517</v>
      </c>
    </row>
    <row r="39">
      <c r="A39" s="63"/>
      <c r="B39" s="64" t="s">
        <v>44</v>
      </c>
      <c r="C39" s="96">
        <f>IFERROR(__xludf.DUMMYFUNCTION("""COMPUTED_VALUE"""),0.0)</f>
        <v>0</v>
      </c>
      <c r="D39" s="97">
        <f>IFERROR(__xludf.DUMMYFUNCTION("""COMPUTED_VALUE"""),0.0)</f>
        <v>0</v>
      </c>
      <c r="E39" s="97">
        <f>IFERROR(__xludf.DUMMYFUNCTION("""COMPUTED_VALUE"""),0.0)</f>
        <v>0</v>
      </c>
      <c r="F39" s="97">
        <f>IFERROR(__xludf.DUMMYFUNCTION("""COMPUTED_VALUE"""),0.0)</f>
        <v>0</v>
      </c>
      <c r="G39" s="98">
        <f>IFERROR(__xludf.DUMMYFUNCTION("""COMPUTED_VALUE"""),0.0)</f>
        <v>0</v>
      </c>
      <c r="H39" s="99"/>
      <c r="I39" s="69">
        <f>ifna(sumif('202108'!$M$3:$M$200,"小兔",'202108'!N$3:N$200),0)</f>
        <v>0</v>
      </c>
      <c r="J39" s="70">
        <f>ifna(sumif('202108'!$M$3:$M$200,"小兔",'202108'!O$3:O$200),0)</f>
        <v>0</v>
      </c>
      <c r="K39" s="70">
        <f>ifna(sumif('202108'!$M$3:$M$200,"小兔",'202108'!P$3:P$200),0)</f>
        <v>10800</v>
      </c>
      <c r="L39" s="70">
        <f>ifna(sumif('202108'!$M$3:$M$200,"小兔",'202108'!Q$3:Q$200),0)</f>
        <v>0</v>
      </c>
      <c r="M39" s="71">
        <f t="shared" si="22"/>
        <v>10800</v>
      </c>
    </row>
    <row r="40">
      <c r="A40" s="63"/>
      <c r="B40" s="64" t="s">
        <v>45</v>
      </c>
      <c r="C40" s="100" t="s">
        <v>30</v>
      </c>
      <c r="D40" s="101" t="s">
        <v>30</v>
      </c>
      <c r="E40" s="101" t="s">
        <v>30</v>
      </c>
      <c r="F40" s="101" t="s">
        <v>30</v>
      </c>
      <c r="G40" s="102">
        <f>sum(G37:G39)-average(G37,M37)-G38-M39</f>
        <v>-22112.7</v>
      </c>
      <c r="H40" s="103"/>
      <c r="I40" s="74" t="s">
        <v>30</v>
      </c>
      <c r="J40" s="75" t="s">
        <v>30</v>
      </c>
      <c r="K40" s="75" t="s">
        <v>30</v>
      </c>
      <c r="L40" s="75" t="s">
        <v>30</v>
      </c>
      <c r="M40" s="76">
        <f>sum(M37:M39)-average(G37,M37)-M38-G39</f>
        <v>22112.7</v>
      </c>
    </row>
    <row r="41">
      <c r="A41" s="63"/>
      <c r="B41" s="64" t="s">
        <v>46</v>
      </c>
      <c r="C41" s="104">
        <f t="shared" ref="C41:F41" si="23">average(C37,I37)+C38+I39</f>
        <v>52323.7</v>
      </c>
      <c r="D41" s="105">
        <f t="shared" si="23"/>
        <v>1600</v>
      </c>
      <c r="E41" s="105">
        <f t="shared" si="23"/>
        <v>11460</v>
      </c>
      <c r="F41" s="105">
        <f t="shared" si="23"/>
        <v>69311</v>
      </c>
      <c r="G41" s="106">
        <f>sum(C41:F41)</f>
        <v>134694.7</v>
      </c>
      <c r="H41" s="107"/>
      <c r="I41" s="80">
        <f t="shared" ref="I41:L41" si="24">average(C37,I37)+I38+C39</f>
        <v>52636.7</v>
      </c>
      <c r="J41" s="81">
        <f t="shared" si="24"/>
        <v>1600</v>
      </c>
      <c r="K41" s="81">
        <f t="shared" si="24"/>
        <v>660</v>
      </c>
      <c r="L41" s="81">
        <f t="shared" si="24"/>
        <v>57937</v>
      </c>
      <c r="M41" s="82">
        <f t="shared" ref="M41:M44" si="25">sum(I41:L41)</f>
        <v>112833.7</v>
      </c>
    </row>
    <row r="42">
      <c r="A42" s="88" t="s">
        <v>54</v>
      </c>
      <c r="B42" s="55" t="s">
        <v>42</v>
      </c>
      <c r="C42" s="92">
        <f>IFERROR(__xludf.DUMMYFUNCTION("importrange(""https://docs.google.com/spreadsheets/d/1dLfYOQFpigEZqlGDoVEu7D9_cKDGOeJRpdvNOIy6BX0/edit#gid=1309682809"",""消费总计2021!c42:g44"")"),10381.0)</f>
        <v>10381</v>
      </c>
      <c r="D42" s="93">
        <f>IFERROR(__xludf.DUMMYFUNCTION("""COMPUTED_VALUE"""),0.0)</f>
        <v>0</v>
      </c>
      <c r="E42" s="93">
        <f>IFERROR(__xludf.DUMMYFUNCTION("""COMPUTED_VALUE"""),0.0)</f>
        <v>0</v>
      </c>
      <c r="F42" s="93">
        <f>IFERROR(__xludf.DUMMYFUNCTION("""COMPUTED_VALUE"""),78397.0)</f>
        <v>78397</v>
      </c>
      <c r="G42" s="94">
        <f>IFERROR(__xludf.DUMMYFUNCTION("""COMPUTED_VALUE"""),88778.0)</f>
        <v>88778</v>
      </c>
      <c r="H42" s="95"/>
      <c r="I42" s="69">
        <f>ifna(sumif('202109'!$M$3:$M$200,"共同",'202109'!N$3:N$200),0)</f>
        <v>70316</v>
      </c>
      <c r="J42" s="70">
        <f>ifna(sumif('202109'!$M$3:$M$200,"共同",'202109'!O$3:O$200),0)</f>
        <v>3000</v>
      </c>
      <c r="K42" s="70">
        <f>ifna(sumif('202109'!$M$3:$M$200,"共同",'202109'!P$3:P$200),0)</f>
        <v>157354</v>
      </c>
      <c r="L42" s="70">
        <f>ifna(sumif('202109'!$M$3:$M$200,"共同",'202109'!Q$3:Q$200),0)</f>
        <v>11106</v>
      </c>
      <c r="M42" s="71">
        <f t="shared" si="25"/>
        <v>241776</v>
      </c>
    </row>
    <row r="43">
      <c r="A43" s="63"/>
      <c r="B43" s="64" t="s">
        <v>43</v>
      </c>
      <c r="C43" s="96">
        <f>IFERROR(__xludf.DUMMYFUNCTION("""COMPUTED_VALUE"""),0.0)</f>
        <v>0</v>
      </c>
      <c r="D43" s="97">
        <f>IFERROR(__xludf.DUMMYFUNCTION("""COMPUTED_VALUE"""),0.0)</f>
        <v>0</v>
      </c>
      <c r="E43" s="97">
        <f>IFERROR(__xludf.DUMMYFUNCTION("""COMPUTED_VALUE"""),14197.0)</f>
        <v>14197</v>
      </c>
      <c r="F43" s="97">
        <f>IFERROR(__xludf.DUMMYFUNCTION("""COMPUTED_VALUE"""),2770.0)</f>
        <v>2770</v>
      </c>
      <c r="G43" s="98">
        <f>IFERROR(__xludf.DUMMYFUNCTION("""COMPUTED_VALUE"""),16967.0)</f>
        <v>16967</v>
      </c>
      <c r="H43" s="99"/>
      <c r="I43" s="69">
        <f>ifna(sumif('202109'!$M$3:$M$200,"大兔",'202109'!N$3:N$200),0)</f>
        <v>0</v>
      </c>
      <c r="J43" s="70">
        <f>ifna(sumif('202109'!$M$3:$M$200,"大兔",'202109'!O$3:O$200),0)</f>
        <v>200</v>
      </c>
      <c r="K43" s="70">
        <f>ifna(sumif('202109'!$M$3:$M$200,"大兔",'202109'!P$3:P$200),0)</f>
        <v>5980</v>
      </c>
      <c r="L43" s="70">
        <f>ifna(sumif('202109'!$M$3:$M$200,"大兔",'202109'!Q$3:Q$200),0)</f>
        <v>10780</v>
      </c>
      <c r="M43" s="71">
        <f t="shared" si="25"/>
        <v>16960</v>
      </c>
    </row>
    <row r="44">
      <c r="A44" s="63"/>
      <c r="B44" s="64" t="s">
        <v>44</v>
      </c>
      <c r="C44" s="96">
        <f>IFERROR(__xludf.DUMMYFUNCTION("""COMPUTED_VALUE"""),0.0)</f>
        <v>0</v>
      </c>
      <c r="D44" s="97">
        <f>IFERROR(__xludf.DUMMYFUNCTION("""COMPUTED_VALUE"""),0.0)</f>
        <v>0</v>
      </c>
      <c r="E44" s="97">
        <f>IFERROR(__xludf.DUMMYFUNCTION("""COMPUTED_VALUE"""),1511.0)</f>
        <v>1511</v>
      </c>
      <c r="F44" s="97">
        <f>IFERROR(__xludf.DUMMYFUNCTION("""COMPUTED_VALUE"""),0.0)</f>
        <v>0</v>
      </c>
      <c r="G44" s="98">
        <f>IFERROR(__xludf.DUMMYFUNCTION("""COMPUTED_VALUE"""),1511.0)</f>
        <v>1511</v>
      </c>
      <c r="H44" s="99"/>
      <c r="I44" s="69">
        <f>ifna(sumif('202109'!$M$3:$M$200,"小兔",'202109'!N$3:N$200),0)</f>
        <v>0</v>
      </c>
      <c r="J44" s="70">
        <f>ifna(sumif('202109'!$M$3:$M$200,"小兔",'202109'!O$3:O$200),0)</f>
        <v>0</v>
      </c>
      <c r="K44" s="70">
        <f>ifna(sumif('202109'!$M$3:$M$200,"小兔",'202109'!P$3:P$200),0)</f>
        <v>730</v>
      </c>
      <c r="L44" s="70">
        <f>ifna(sumif('202109'!$M$3:$M$200,"小兔",'202109'!Q$3:Q$200),0)</f>
        <v>6442</v>
      </c>
      <c r="M44" s="71">
        <f t="shared" si="25"/>
        <v>7172</v>
      </c>
    </row>
    <row r="45">
      <c r="A45" s="63"/>
      <c r="B45" s="64" t="s">
        <v>45</v>
      </c>
      <c r="C45" s="100" t="s">
        <v>30</v>
      </c>
      <c r="D45" s="101" t="s">
        <v>30</v>
      </c>
      <c r="E45" s="101" t="s">
        <v>30</v>
      </c>
      <c r="F45" s="101" t="s">
        <v>30</v>
      </c>
      <c r="G45" s="102">
        <f>sum(G42:G44)-average(G42,M42)-G43-M44</f>
        <v>-82160</v>
      </c>
      <c r="H45" s="103"/>
      <c r="I45" s="74" t="s">
        <v>30</v>
      </c>
      <c r="J45" s="75" t="s">
        <v>30</v>
      </c>
      <c r="K45" s="75" t="s">
        <v>30</v>
      </c>
      <c r="L45" s="75" t="s">
        <v>30</v>
      </c>
      <c r="M45" s="76">
        <f>sum(M42:M44)-average(G42,M42)-M43-G44</f>
        <v>82160</v>
      </c>
    </row>
    <row r="46">
      <c r="A46" s="84"/>
      <c r="B46" s="85" t="s">
        <v>46</v>
      </c>
      <c r="C46" s="104">
        <f t="shared" ref="C46:F46" si="26">average(C42,I42)+C43+I44</f>
        <v>40348.5</v>
      </c>
      <c r="D46" s="105">
        <f t="shared" si="26"/>
        <v>1500</v>
      </c>
      <c r="E46" s="105">
        <f t="shared" si="26"/>
        <v>93604</v>
      </c>
      <c r="F46" s="105">
        <f t="shared" si="26"/>
        <v>53963.5</v>
      </c>
      <c r="G46" s="106">
        <f>sum(C46:F46)</f>
        <v>189416</v>
      </c>
      <c r="H46" s="107"/>
      <c r="I46" s="86">
        <f t="shared" ref="I46:L46" si="27">average(C42,I42)+I43+C44</f>
        <v>40348.5</v>
      </c>
      <c r="J46" s="87">
        <f t="shared" si="27"/>
        <v>1700</v>
      </c>
      <c r="K46" s="87">
        <f t="shared" si="27"/>
        <v>86168</v>
      </c>
      <c r="L46" s="87">
        <f t="shared" si="27"/>
        <v>55531.5</v>
      </c>
      <c r="M46" s="89">
        <f t="shared" ref="M46:M49" si="28">sum(I46:L46)</f>
        <v>183748</v>
      </c>
    </row>
    <row r="47">
      <c r="A47" s="90" t="s">
        <v>55</v>
      </c>
      <c r="B47" s="91" t="s">
        <v>42</v>
      </c>
      <c r="C47" s="92">
        <f>IFERROR(__xludf.DUMMYFUNCTION("importrange(""https://docs.google.com/spreadsheets/d/1dLfYOQFpigEZqlGDoVEu7D9_cKDGOeJRpdvNOIy6BX0/edit#gid=1309682809"",""消费总计2021!c47:g49"")"),14613.0)</f>
        <v>14613</v>
      </c>
      <c r="D47" s="93">
        <f>IFERROR(__xludf.DUMMYFUNCTION("""COMPUTED_VALUE"""),0.0)</f>
        <v>0</v>
      </c>
      <c r="E47" s="93">
        <f>IFERROR(__xludf.DUMMYFUNCTION("""COMPUTED_VALUE"""),8739.0)</f>
        <v>8739</v>
      </c>
      <c r="F47" s="93">
        <f>IFERROR(__xludf.DUMMYFUNCTION("""COMPUTED_VALUE"""),77116.0)</f>
        <v>77116</v>
      </c>
      <c r="G47" s="94">
        <f>IFERROR(__xludf.DUMMYFUNCTION("""COMPUTED_VALUE"""),100468.0)</f>
        <v>100468</v>
      </c>
      <c r="H47" s="95"/>
      <c r="I47" s="60">
        <f>ifna(sumif('202110'!$M$3:$M$200,"共同",'202110'!N$3:N$200),0)</f>
        <v>69616.88</v>
      </c>
      <c r="J47" s="61">
        <f>ifna(sumif('202110'!$M$3:$M$200,"共同",'202110'!O$3:O$200),0)</f>
        <v>4000</v>
      </c>
      <c r="K47" s="61">
        <f>ifna(sumif('202110'!$M$3:$M$200,"共同",'202110'!P$3:P$200),0)</f>
        <v>864</v>
      </c>
      <c r="L47" s="61">
        <f>ifna(sumif('202110'!$M$3:$M$200,"共同",'202110'!Q$3:Q$200),0)</f>
        <v>62177.56</v>
      </c>
      <c r="M47" s="62">
        <f t="shared" si="28"/>
        <v>136658.44</v>
      </c>
    </row>
    <row r="48">
      <c r="A48" s="63"/>
      <c r="B48" s="64" t="s">
        <v>43</v>
      </c>
      <c r="C48" s="96">
        <f>IFERROR(__xludf.DUMMYFUNCTION("""COMPUTED_VALUE"""),0.0)</f>
        <v>0</v>
      </c>
      <c r="D48" s="97">
        <f>IFERROR(__xludf.DUMMYFUNCTION("""COMPUTED_VALUE"""),0.0)</f>
        <v>0</v>
      </c>
      <c r="E48" s="97">
        <f>IFERROR(__xludf.DUMMYFUNCTION("""COMPUTED_VALUE"""),20178.0)</f>
        <v>20178</v>
      </c>
      <c r="F48" s="97">
        <f>IFERROR(__xludf.DUMMYFUNCTION("""COMPUTED_VALUE"""),2032.0)</f>
        <v>2032</v>
      </c>
      <c r="G48" s="98">
        <f>IFERROR(__xludf.DUMMYFUNCTION("""COMPUTED_VALUE"""),22210.0)</f>
        <v>22210</v>
      </c>
      <c r="H48" s="99"/>
      <c r="I48" s="69">
        <f>ifna(sumif('202110'!$M$3:$M$200,"大兔",'202110'!N$3:N$200),0)</f>
        <v>1530</v>
      </c>
      <c r="J48" s="70">
        <f>ifna(sumif('202110'!$M$3:$M$200,"大兔",'202110'!O$3:O$200),0)</f>
        <v>2000</v>
      </c>
      <c r="K48" s="70">
        <f>ifna(sumif('202110'!$M$3:$M$200,"大兔",'202110'!P$3:P$200),0)</f>
        <v>3800</v>
      </c>
      <c r="L48" s="70">
        <f>ifna(sumif('202110'!$M$3:$M$200,"大兔",'202110'!Q$3:Q$200),0)</f>
        <v>1924</v>
      </c>
      <c r="M48" s="71">
        <f t="shared" si="28"/>
        <v>9254</v>
      </c>
    </row>
    <row r="49">
      <c r="A49" s="63"/>
      <c r="B49" s="64" t="s">
        <v>44</v>
      </c>
      <c r="C49" s="96">
        <f>IFERROR(__xludf.DUMMYFUNCTION("""COMPUTED_VALUE"""),0.0)</f>
        <v>0</v>
      </c>
      <c r="D49" s="97">
        <f>IFERROR(__xludf.DUMMYFUNCTION("""COMPUTED_VALUE"""),0.0)</f>
        <v>0</v>
      </c>
      <c r="E49" s="97">
        <f>IFERROR(__xludf.DUMMYFUNCTION("""COMPUTED_VALUE"""),0.0)</f>
        <v>0</v>
      </c>
      <c r="F49" s="97">
        <f>IFERROR(__xludf.DUMMYFUNCTION("""COMPUTED_VALUE"""),0.0)</f>
        <v>0</v>
      </c>
      <c r="G49" s="98">
        <f>IFERROR(__xludf.DUMMYFUNCTION("""COMPUTED_VALUE"""),0.0)</f>
        <v>0</v>
      </c>
      <c r="H49" s="99"/>
      <c r="I49" s="69">
        <f>ifna(sumif('202110'!$M$3:$M$200,"小兔",'202110'!N$3:N$200),0)</f>
        <v>0</v>
      </c>
      <c r="J49" s="70">
        <f>ifna(sumif('202110'!$M$3:$M$200,"小兔",'202110'!O$3:O$200),0)</f>
        <v>0</v>
      </c>
      <c r="K49" s="70">
        <f>ifna(sumif('202110'!$M$3:$M$200,"小兔",'202110'!P$3:P$200),0)</f>
        <v>8420</v>
      </c>
      <c r="L49" s="70">
        <f>ifna(sumif('202110'!$M$3:$M$200,"小兔",'202110'!Q$3:Q$200),0)</f>
        <v>6061</v>
      </c>
      <c r="M49" s="71">
        <f t="shared" si="28"/>
        <v>14481</v>
      </c>
    </row>
    <row r="50">
      <c r="A50" s="63"/>
      <c r="B50" s="64" t="s">
        <v>45</v>
      </c>
      <c r="C50" s="100" t="s">
        <v>30</v>
      </c>
      <c r="D50" s="101" t="s">
        <v>30</v>
      </c>
      <c r="E50" s="101" t="s">
        <v>30</v>
      </c>
      <c r="F50" s="101" t="s">
        <v>30</v>
      </c>
      <c r="G50" s="102">
        <f>sum(G47:G49)-average(G47,M47)-G48-M49</f>
        <v>-32576.22</v>
      </c>
      <c r="H50" s="103"/>
      <c r="I50" s="74" t="s">
        <v>30</v>
      </c>
      <c r="J50" s="75" t="s">
        <v>30</v>
      </c>
      <c r="K50" s="75" t="s">
        <v>30</v>
      </c>
      <c r="L50" s="75" t="s">
        <v>30</v>
      </c>
      <c r="M50" s="76">
        <f>sum(M47:M49)-average(G47,M47)-M48-G49</f>
        <v>32576.22</v>
      </c>
    </row>
    <row r="51">
      <c r="A51" s="63"/>
      <c r="B51" s="64" t="s">
        <v>46</v>
      </c>
      <c r="C51" s="104">
        <f t="shared" ref="C51:F51" si="29">average(C47,I47)+C48+I49</f>
        <v>42114.94</v>
      </c>
      <c r="D51" s="105">
        <f t="shared" si="29"/>
        <v>2000</v>
      </c>
      <c r="E51" s="105">
        <f t="shared" si="29"/>
        <v>33399.5</v>
      </c>
      <c r="F51" s="105">
        <f t="shared" si="29"/>
        <v>77739.78</v>
      </c>
      <c r="G51" s="106">
        <f>sum(C51:F51)</f>
        <v>155254.22</v>
      </c>
      <c r="H51" s="107"/>
      <c r="I51" s="80">
        <f t="shared" ref="I51:L51" si="30">average(C47,I47)+I48+C49</f>
        <v>43644.94</v>
      </c>
      <c r="J51" s="81">
        <f t="shared" si="30"/>
        <v>4000</v>
      </c>
      <c r="K51" s="81">
        <f t="shared" si="30"/>
        <v>8601.5</v>
      </c>
      <c r="L51" s="81">
        <f t="shared" si="30"/>
        <v>71570.78</v>
      </c>
      <c r="M51" s="82">
        <f t="shared" ref="M51:M54" si="32">sum(I51:L51)</f>
        <v>127817.22</v>
      </c>
    </row>
    <row r="52">
      <c r="A52" s="88" t="s">
        <v>56</v>
      </c>
      <c r="B52" s="55" t="s">
        <v>42</v>
      </c>
      <c r="C52" s="92">
        <f>IFERROR(__xludf.DUMMYFUNCTION("importrange(""https://docs.google.com/spreadsheets/d/1dLfYOQFpigEZqlGDoVEu7D9_cKDGOeJRpdvNOIy6BX0/edit#gid=1309682809"",""消费总计2021!c52:g54"")"),0.0)</f>
        <v>0</v>
      </c>
      <c r="D52" s="93">
        <f>IFERROR(__xludf.DUMMYFUNCTION("""COMPUTED_VALUE"""),0.0)</f>
        <v>0</v>
      </c>
      <c r="E52" s="93">
        <f>IFERROR(__xludf.DUMMYFUNCTION("""COMPUTED_VALUE"""),0.0)</f>
        <v>0</v>
      </c>
      <c r="F52" s="93">
        <f>IFERROR(__xludf.DUMMYFUNCTION("""COMPUTED_VALUE"""),0.0)</f>
        <v>0</v>
      </c>
      <c r="G52" s="94">
        <f>IFERROR(__xludf.DUMMYFUNCTION("""COMPUTED_VALUE"""),0.0)</f>
        <v>0</v>
      </c>
      <c r="H52" s="95"/>
      <c r="I52" s="69">
        <f t="shared" ref="I52:L52" si="31">ifna(sumif('202111'!$M$3:$M$200,"共同",'202111'!N$3:N$200),0)</f>
        <v>0</v>
      </c>
      <c r="J52" s="70">
        <f t="shared" si="31"/>
        <v>0</v>
      </c>
      <c r="K52" s="70">
        <f t="shared" si="31"/>
        <v>0</v>
      </c>
      <c r="L52" s="70">
        <f t="shared" si="31"/>
        <v>0</v>
      </c>
      <c r="M52" s="62">
        <f t="shared" si="32"/>
        <v>0</v>
      </c>
    </row>
    <row r="53">
      <c r="A53" s="63"/>
      <c r="B53" s="64" t="s">
        <v>43</v>
      </c>
      <c r="C53" s="96">
        <f>IFERROR(__xludf.DUMMYFUNCTION("""COMPUTED_VALUE"""),0.0)</f>
        <v>0</v>
      </c>
      <c r="D53" s="97">
        <f>IFERROR(__xludf.DUMMYFUNCTION("""COMPUTED_VALUE"""),0.0)</f>
        <v>0</v>
      </c>
      <c r="E53" s="97">
        <f>IFERROR(__xludf.DUMMYFUNCTION("""COMPUTED_VALUE"""),0.0)</f>
        <v>0</v>
      </c>
      <c r="F53" s="97">
        <f>IFERROR(__xludf.DUMMYFUNCTION("""COMPUTED_VALUE"""),0.0)</f>
        <v>0</v>
      </c>
      <c r="G53" s="98">
        <f>IFERROR(__xludf.DUMMYFUNCTION("""COMPUTED_VALUE"""),0.0)</f>
        <v>0</v>
      </c>
      <c r="H53" s="99"/>
      <c r="I53" s="69">
        <f t="shared" ref="I53:L53" si="33">ifna(sumif('202111'!$M$3:$M$200,"大兔",'202111'!N$3:N$200),0)</f>
        <v>0</v>
      </c>
      <c r="J53" s="70">
        <f t="shared" si="33"/>
        <v>0</v>
      </c>
      <c r="K53" s="70">
        <f t="shared" si="33"/>
        <v>0</v>
      </c>
      <c r="L53" s="70">
        <f t="shared" si="33"/>
        <v>0</v>
      </c>
      <c r="M53" s="71">
        <f t="shared" si="32"/>
        <v>0</v>
      </c>
    </row>
    <row r="54">
      <c r="A54" s="63"/>
      <c r="B54" s="64" t="s">
        <v>44</v>
      </c>
      <c r="C54" s="96">
        <f>IFERROR(__xludf.DUMMYFUNCTION("""COMPUTED_VALUE"""),0.0)</f>
        <v>0</v>
      </c>
      <c r="D54" s="97">
        <f>IFERROR(__xludf.DUMMYFUNCTION("""COMPUTED_VALUE"""),0.0)</f>
        <v>0</v>
      </c>
      <c r="E54" s="97">
        <f>IFERROR(__xludf.DUMMYFUNCTION("""COMPUTED_VALUE"""),0.0)</f>
        <v>0</v>
      </c>
      <c r="F54" s="97">
        <f>IFERROR(__xludf.DUMMYFUNCTION("""COMPUTED_VALUE"""),0.0)</f>
        <v>0</v>
      </c>
      <c r="G54" s="98">
        <f>IFERROR(__xludf.DUMMYFUNCTION("""COMPUTED_VALUE"""),0.0)</f>
        <v>0</v>
      </c>
      <c r="H54" s="99"/>
      <c r="I54" s="69">
        <f t="shared" ref="I54:L54" si="34">ifna(sumif('202111'!$M$3:$M$200,"小兔",'202111'!N$3:N$200),0)</f>
        <v>0</v>
      </c>
      <c r="J54" s="70">
        <f t="shared" si="34"/>
        <v>0</v>
      </c>
      <c r="K54" s="70">
        <f t="shared" si="34"/>
        <v>0</v>
      </c>
      <c r="L54" s="70">
        <f t="shared" si="34"/>
        <v>0</v>
      </c>
      <c r="M54" s="71">
        <f t="shared" si="32"/>
        <v>0</v>
      </c>
    </row>
    <row r="55">
      <c r="A55" s="63"/>
      <c r="B55" s="64" t="s">
        <v>45</v>
      </c>
      <c r="C55" s="100" t="s">
        <v>30</v>
      </c>
      <c r="D55" s="101" t="s">
        <v>30</v>
      </c>
      <c r="E55" s="101" t="s">
        <v>30</v>
      </c>
      <c r="F55" s="101" t="s">
        <v>30</v>
      </c>
      <c r="G55" s="102">
        <f>sum(G52:G54)-average(G52,M52)-G53-M54</f>
        <v>0</v>
      </c>
      <c r="H55" s="103"/>
      <c r="I55" s="74" t="s">
        <v>30</v>
      </c>
      <c r="J55" s="75" t="s">
        <v>30</v>
      </c>
      <c r="K55" s="75" t="s">
        <v>30</v>
      </c>
      <c r="L55" s="75" t="s">
        <v>30</v>
      </c>
      <c r="M55" s="76">
        <f>sum(M52:M54)-average(G52,M52)-M53-G54</f>
        <v>0</v>
      </c>
    </row>
    <row r="56">
      <c r="A56" s="84"/>
      <c r="B56" s="85" t="s">
        <v>46</v>
      </c>
      <c r="C56" s="104">
        <f t="shared" ref="C56:F56" si="35">average(C52,I52)+C53+I54</f>
        <v>0</v>
      </c>
      <c r="D56" s="105">
        <f t="shared" si="35"/>
        <v>0</v>
      </c>
      <c r="E56" s="105">
        <f t="shared" si="35"/>
        <v>0</v>
      </c>
      <c r="F56" s="105">
        <f t="shared" si="35"/>
        <v>0</v>
      </c>
      <c r="G56" s="106">
        <f>sum(C56:F56)</f>
        <v>0</v>
      </c>
      <c r="H56" s="107"/>
      <c r="I56" s="86">
        <f t="shared" ref="I56:L56" si="36">average(C52,I52)+I53+C54</f>
        <v>0</v>
      </c>
      <c r="J56" s="87">
        <f t="shared" si="36"/>
        <v>0</v>
      </c>
      <c r="K56" s="87">
        <f t="shared" si="36"/>
        <v>0</v>
      </c>
      <c r="L56" s="87">
        <f t="shared" si="36"/>
        <v>0</v>
      </c>
      <c r="M56" s="89">
        <f t="shared" ref="M56:M59" si="38">sum(I56:L56)</f>
        <v>0</v>
      </c>
    </row>
    <row r="57">
      <c r="A57" s="90" t="s">
        <v>57</v>
      </c>
      <c r="B57" s="91" t="s">
        <v>42</v>
      </c>
      <c r="C57" s="92">
        <f>IFERROR(__xludf.DUMMYFUNCTION("importrange(""https://docs.google.com/spreadsheets/d/1dLfYOQFpigEZqlGDoVEu7D9_cKDGOeJRpdvNOIy6BX0/edit#gid=1309682809"",""消费总计2021!c57:g59"")"),0.0)</f>
        <v>0</v>
      </c>
      <c r="D57" s="93">
        <f>IFERROR(__xludf.DUMMYFUNCTION("""COMPUTED_VALUE"""),0.0)</f>
        <v>0</v>
      </c>
      <c r="E57" s="93">
        <f>IFERROR(__xludf.DUMMYFUNCTION("""COMPUTED_VALUE"""),0.0)</f>
        <v>0</v>
      </c>
      <c r="F57" s="93">
        <f>IFERROR(__xludf.DUMMYFUNCTION("""COMPUTED_VALUE"""),0.0)</f>
        <v>0</v>
      </c>
      <c r="G57" s="94">
        <f>IFERROR(__xludf.DUMMYFUNCTION("""COMPUTED_VALUE"""),0.0)</f>
        <v>0</v>
      </c>
      <c r="H57" s="95"/>
      <c r="I57" s="60">
        <f t="shared" ref="I57:L57" si="37">ifna(sumif('202112'!$M$3:$M$200,"共同",'202112'!N$3:N$200),0)</f>
        <v>0</v>
      </c>
      <c r="J57" s="61">
        <f t="shared" si="37"/>
        <v>0</v>
      </c>
      <c r="K57" s="61">
        <f t="shared" si="37"/>
        <v>0</v>
      </c>
      <c r="L57" s="61">
        <f t="shared" si="37"/>
        <v>0</v>
      </c>
      <c r="M57" s="62">
        <f t="shared" si="38"/>
        <v>0</v>
      </c>
    </row>
    <row r="58">
      <c r="A58" s="63"/>
      <c r="B58" s="64" t="s">
        <v>43</v>
      </c>
      <c r="C58" s="96">
        <f>IFERROR(__xludf.DUMMYFUNCTION("""COMPUTED_VALUE"""),0.0)</f>
        <v>0</v>
      </c>
      <c r="D58" s="97">
        <f>IFERROR(__xludf.DUMMYFUNCTION("""COMPUTED_VALUE"""),0.0)</f>
        <v>0</v>
      </c>
      <c r="E58" s="97">
        <f>IFERROR(__xludf.DUMMYFUNCTION("""COMPUTED_VALUE"""),0.0)</f>
        <v>0</v>
      </c>
      <c r="F58" s="97">
        <f>IFERROR(__xludf.DUMMYFUNCTION("""COMPUTED_VALUE"""),0.0)</f>
        <v>0</v>
      </c>
      <c r="G58" s="98">
        <f>IFERROR(__xludf.DUMMYFUNCTION("""COMPUTED_VALUE"""),0.0)</f>
        <v>0</v>
      </c>
      <c r="H58" s="99"/>
      <c r="I58" s="69">
        <f t="shared" ref="I58:L58" si="39">ifna(sumif('202112'!$M$3:$M$200,"大兔",'202112'!N$3:N$200),0)</f>
        <v>0</v>
      </c>
      <c r="J58" s="70">
        <f t="shared" si="39"/>
        <v>0</v>
      </c>
      <c r="K58" s="70">
        <f t="shared" si="39"/>
        <v>0</v>
      </c>
      <c r="L58" s="70">
        <f t="shared" si="39"/>
        <v>0</v>
      </c>
      <c r="M58" s="71">
        <f t="shared" si="38"/>
        <v>0</v>
      </c>
    </row>
    <row r="59">
      <c r="A59" s="63"/>
      <c r="B59" s="64" t="s">
        <v>44</v>
      </c>
      <c r="C59" s="96">
        <f>IFERROR(__xludf.DUMMYFUNCTION("""COMPUTED_VALUE"""),0.0)</f>
        <v>0</v>
      </c>
      <c r="D59" s="97">
        <f>IFERROR(__xludf.DUMMYFUNCTION("""COMPUTED_VALUE"""),0.0)</f>
        <v>0</v>
      </c>
      <c r="E59" s="97">
        <f>IFERROR(__xludf.DUMMYFUNCTION("""COMPUTED_VALUE"""),0.0)</f>
        <v>0</v>
      </c>
      <c r="F59" s="97">
        <f>IFERROR(__xludf.DUMMYFUNCTION("""COMPUTED_VALUE"""),0.0)</f>
        <v>0</v>
      </c>
      <c r="G59" s="98">
        <f>IFERROR(__xludf.DUMMYFUNCTION("""COMPUTED_VALUE"""),0.0)</f>
        <v>0</v>
      </c>
      <c r="H59" s="99"/>
      <c r="I59" s="69">
        <f t="shared" ref="I59:L59" si="40">ifna(sumif('202112'!$M$3:$M$200,"小兔",'202112'!N$3:N$200),0)</f>
        <v>0</v>
      </c>
      <c r="J59" s="70">
        <f t="shared" si="40"/>
        <v>0</v>
      </c>
      <c r="K59" s="70">
        <f t="shared" si="40"/>
        <v>0</v>
      </c>
      <c r="L59" s="70">
        <f t="shared" si="40"/>
        <v>0</v>
      </c>
      <c r="M59" s="71">
        <f t="shared" si="38"/>
        <v>0</v>
      </c>
    </row>
    <row r="60">
      <c r="A60" s="63"/>
      <c r="B60" s="64" t="s">
        <v>45</v>
      </c>
      <c r="C60" s="100" t="s">
        <v>30</v>
      </c>
      <c r="D60" s="101" t="s">
        <v>30</v>
      </c>
      <c r="E60" s="101" t="s">
        <v>30</v>
      </c>
      <c r="F60" s="101" t="s">
        <v>30</v>
      </c>
      <c r="G60" s="102">
        <f>sum(G57:G59)-average(G57,M57)-G58-M59</f>
        <v>0</v>
      </c>
      <c r="H60" s="103"/>
      <c r="I60" s="74" t="s">
        <v>30</v>
      </c>
      <c r="J60" s="75" t="s">
        <v>30</v>
      </c>
      <c r="K60" s="75" t="s">
        <v>30</v>
      </c>
      <c r="L60" s="75" t="s">
        <v>30</v>
      </c>
      <c r="M60" s="76">
        <f>sum(M57:M59)-average(G57,M57)-M58-G59</f>
        <v>0</v>
      </c>
    </row>
    <row r="61">
      <c r="A61" s="84"/>
      <c r="B61" s="85" t="s">
        <v>46</v>
      </c>
      <c r="C61" s="104">
        <f t="shared" ref="C61:F61" si="41">average(C57,I57)+C58+I59</f>
        <v>0</v>
      </c>
      <c r="D61" s="105">
        <f t="shared" si="41"/>
        <v>0</v>
      </c>
      <c r="E61" s="105">
        <f t="shared" si="41"/>
        <v>0</v>
      </c>
      <c r="F61" s="105">
        <f t="shared" si="41"/>
        <v>0</v>
      </c>
      <c r="G61" s="106">
        <f>sum(C61:F61)</f>
        <v>0</v>
      </c>
      <c r="H61" s="107"/>
      <c r="I61" s="80">
        <f t="shared" ref="I61:L61" si="42">average(C57,I57)+I58+C59</f>
        <v>0</v>
      </c>
      <c r="J61" s="81">
        <f t="shared" si="42"/>
        <v>0</v>
      </c>
      <c r="K61" s="81">
        <f t="shared" si="42"/>
        <v>0</v>
      </c>
      <c r="L61" s="81">
        <f t="shared" si="42"/>
        <v>0</v>
      </c>
      <c r="M61" s="82">
        <f>sum(I61:L61)</f>
        <v>0</v>
      </c>
    </row>
    <row r="62">
      <c r="A62" s="108"/>
      <c r="B62" s="108"/>
      <c r="C62" s="5"/>
      <c r="D62" s="5"/>
      <c r="E62" s="5"/>
      <c r="F62" s="5"/>
      <c r="G62" s="5"/>
      <c r="H62" s="5"/>
      <c r="I62" s="5"/>
      <c r="J62" s="5"/>
      <c r="K62" s="5"/>
      <c r="L62" s="5"/>
      <c r="M62" s="5"/>
    </row>
    <row r="63">
      <c r="A63" s="108"/>
      <c r="B63" s="108"/>
      <c r="C63" s="5"/>
      <c r="D63" s="5"/>
      <c r="E63" s="5"/>
      <c r="F63" s="5"/>
      <c r="G63" s="5"/>
      <c r="H63" s="5"/>
      <c r="I63" s="5"/>
      <c r="J63" s="5"/>
      <c r="K63" s="5"/>
      <c r="L63" s="5"/>
      <c r="M63" s="5"/>
    </row>
    <row r="64">
      <c r="A64" s="108"/>
      <c r="B64" s="108"/>
      <c r="C64" s="5"/>
      <c r="D64" s="5"/>
      <c r="E64" s="5"/>
      <c r="F64" s="5"/>
      <c r="G64" s="5"/>
      <c r="H64" s="5"/>
      <c r="I64" s="5"/>
      <c r="J64" s="5"/>
      <c r="K64" s="5"/>
      <c r="L64" s="5"/>
      <c r="M64" s="5"/>
    </row>
    <row r="65">
      <c r="A65" s="108"/>
      <c r="B65" s="108"/>
      <c r="C65" s="5"/>
      <c r="D65" s="5"/>
      <c r="E65" s="5"/>
      <c r="F65" s="5"/>
      <c r="G65" s="5"/>
      <c r="H65" s="5"/>
      <c r="I65" s="5"/>
      <c r="J65" s="5"/>
      <c r="K65" s="5"/>
      <c r="L65" s="5"/>
      <c r="M65" s="5"/>
    </row>
    <row r="66">
      <c r="A66" s="108"/>
      <c r="B66" s="108"/>
      <c r="C66" s="5"/>
      <c r="D66" s="5"/>
      <c r="E66" s="5"/>
      <c r="F66" s="5"/>
      <c r="G66" s="5"/>
      <c r="H66" s="5"/>
      <c r="I66" s="5"/>
      <c r="J66" s="5"/>
      <c r="K66" s="5"/>
      <c r="L66" s="5"/>
      <c r="M66" s="5"/>
    </row>
    <row r="67">
      <c r="A67" s="108"/>
      <c r="B67" s="108"/>
      <c r="C67" s="5"/>
      <c r="D67" s="5"/>
      <c r="E67" s="5"/>
      <c r="F67" s="5"/>
      <c r="G67" s="5"/>
      <c r="H67" s="5"/>
      <c r="I67" s="5"/>
      <c r="J67" s="5"/>
      <c r="K67" s="5"/>
      <c r="L67" s="5"/>
      <c r="M67" s="5"/>
    </row>
    <row r="68">
      <c r="A68" s="108"/>
      <c r="B68" s="108"/>
      <c r="C68" s="5"/>
      <c r="D68" s="5"/>
      <c r="E68" s="5"/>
      <c r="F68" s="5"/>
      <c r="G68" s="5"/>
      <c r="H68" s="5"/>
      <c r="I68" s="5"/>
      <c r="J68" s="5"/>
      <c r="K68" s="5"/>
      <c r="L68" s="5"/>
      <c r="M68" s="5"/>
    </row>
    <row r="69">
      <c r="A69" s="108"/>
      <c r="B69" s="108"/>
      <c r="C69" s="5"/>
      <c r="D69" s="5"/>
      <c r="E69" s="5"/>
      <c r="F69" s="5"/>
      <c r="G69" s="5"/>
      <c r="H69" s="5"/>
      <c r="I69" s="5"/>
      <c r="J69" s="5"/>
      <c r="K69" s="5"/>
      <c r="L69" s="5"/>
      <c r="M69" s="5"/>
    </row>
    <row r="70">
      <c r="A70" s="108"/>
      <c r="B70" s="108"/>
      <c r="C70" s="5"/>
      <c r="D70" s="5"/>
      <c r="E70" s="5"/>
      <c r="F70" s="5"/>
      <c r="G70" s="5"/>
      <c r="H70" s="5"/>
      <c r="I70" s="5"/>
      <c r="J70" s="5"/>
      <c r="K70" s="5"/>
      <c r="L70" s="5"/>
      <c r="M70" s="5"/>
    </row>
    <row r="71">
      <c r="A71" s="108"/>
      <c r="B71" s="108"/>
      <c r="C71" s="5"/>
      <c r="D71" s="5"/>
      <c r="E71" s="5"/>
      <c r="F71" s="5"/>
      <c r="G71" s="5"/>
      <c r="H71" s="5"/>
      <c r="I71" s="5"/>
      <c r="J71" s="5"/>
      <c r="K71" s="5"/>
      <c r="L71" s="5"/>
      <c r="M71" s="5"/>
    </row>
    <row r="72">
      <c r="A72" s="108"/>
      <c r="B72" s="108"/>
      <c r="C72" s="5"/>
      <c r="D72" s="5"/>
      <c r="E72" s="5"/>
      <c r="F72" s="5"/>
      <c r="G72" s="5"/>
      <c r="H72" s="5"/>
      <c r="I72" s="5"/>
      <c r="J72" s="5"/>
      <c r="K72" s="5"/>
      <c r="L72" s="5"/>
      <c r="M72" s="5"/>
    </row>
    <row r="73">
      <c r="A73" s="108"/>
      <c r="B73" s="108"/>
      <c r="C73" s="5"/>
      <c r="D73" s="5"/>
      <c r="E73" s="5"/>
      <c r="F73" s="5"/>
      <c r="G73" s="5"/>
      <c r="H73" s="5"/>
      <c r="I73" s="5"/>
      <c r="J73" s="5"/>
      <c r="K73" s="5"/>
      <c r="L73" s="5"/>
      <c r="M73" s="5"/>
    </row>
    <row r="74">
      <c r="A74" s="108"/>
      <c r="B74" s="108"/>
      <c r="C74" s="5"/>
      <c r="D74" s="5"/>
      <c r="E74" s="5"/>
      <c r="F74" s="5"/>
      <c r="G74" s="5"/>
      <c r="H74" s="5"/>
      <c r="I74" s="5"/>
      <c r="J74" s="5"/>
      <c r="K74" s="5"/>
      <c r="L74" s="5"/>
      <c r="M74" s="5"/>
    </row>
    <row r="75">
      <c r="A75" s="108"/>
      <c r="B75" s="108"/>
      <c r="C75" s="5"/>
      <c r="D75" s="5"/>
      <c r="E75" s="5"/>
      <c r="F75" s="5"/>
      <c r="G75" s="5"/>
      <c r="H75" s="5"/>
      <c r="I75" s="5"/>
      <c r="J75" s="5"/>
      <c r="K75" s="5"/>
      <c r="L75" s="5"/>
      <c r="M75" s="5"/>
    </row>
    <row r="76">
      <c r="A76" s="108"/>
      <c r="B76" s="108"/>
      <c r="C76" s="5"/>
      <c r="D76" s="5"/>
      <c r="E76" s="5"/>
      <c r="F76" s="5"/>
      <c r="G76" s="5"/>
      <c r="H76" s="5"/>
      <c r="I76" s="5"/>
      <c r="J76" s="5"/>
      <c r="K76" s="5"/>
      <c r="L76" s="5"/>
      <c r="M76" s="5"/>
    </row>
    <row r="77">
      <c r="A77" s="108"/>
      <c r="B77" s="108"/>
      <c r="C77" s="5"/>
      <c r="D77" s="5"/>
      <c r="E77" s="5"/>
      <c r="F77" s="5"/>
      <c r="G77" s="5"/>
      <c r="H77" s="5"/>
      <c r="I77" s="5"/>
      <c r="J77" s="5"/>
      <c r="K77" s="5"/>
      <c r="L77" s="5"/>
      <c r="M77" s="5"/>
    </row>
    <row r="78">
      <c r="A78" s="108"/>
      <c r="B78" s="108"/>
      <c r="C78" s="5"/>
      <c r="D78" s="5"/>
      <c r="E78" s="5"/>
      <c r="F78" s="5"/>
      <c r="G78" s="5"/>
      <c r="H78" s="5"/>
      <c r="I78" s="5"/>
      <c r="J78" s="5"/>
      <c r="K78" s="5"/>
      <c r="L78" s="5"/>
      <c r="M78" s="5"/>
    </row>
    <row r="79">
      <c r="A79" s="108"/>
      <c r="B79" s="108"/>
      <c r="C79" s="5"/>
      <c r="D79" s="5"/>
      <c r="E79" s="5"/>
      <c r="F79" s="5"/>
      <c r="G79" s="5"/>
      <c r="H79" s="5"/>
      <c r="I79" s="5"/>
      <c r="J79" s="5"/>
      <c r="K79" s="5"/>
      <c r="L79" s="5"/>
      <c r="M79" s="5"/>
    </row>
    <row r="80">
      <c r="A80" s="108"/>
      <c r="B80" s="108"/>
      <c r="C80" s="5"/>
      <c r="D80" s="5"/>
      <c r="E80" s="5"/>
      <c r="F80" s="5"/>
      <c r="G80" s="5"/>
      <c r="H80" s="5"/>
      <c r="I80" s="5"/>
      <c r="J80" s="5"/>
      <c r="K80" s="5"/>
      <c r="L80" s="5"/>
      <c r="M80" s="5"/>
    </row>
    <row r="81">
      <c r="A81" s="108"/>
      <c r="B81" s="108"/>
      <c r="C81" s="5"/>
      <c r="D81" s="5"/>
      <c r="E81" s="5"/>
      <c r="F81" s="5"/>
      <c r="G81" s="5"/>
      <c r="H81" s="5"/>
      <c r="I81" s="5"/>
      <c r="J81" s="5"/>
      <c r="K81" s="5"/>
      <c r="L81" s="5"/>
      <c r="M81" s="5"/>
    </row>
    <row r="82">
      <c r="A82" s="108"/>
      <c r="B82" s="108"/>
      <c r="C82" s="5"/>
      <c r="D82" s="5"/>
      <c r="E82" s="5"/>
      <c r="F82" s="5"/>
      <c r="G82" s="5"/>
      <c r="H82" s="5"/>
      <c r="I82" s="5"/>
      <c r="J82" s="5"/>
      <c r="K82" s="5"/>
      <c r="L82" s="5"/>
      <c r="M82" s="5"/>
    </row>
    <row r="83">
      <c r="A83" s="108"/>
      <c r="B83" s="108"/>
      <c r="C83" s="5"/>
      <c r="D83" s="5"/>
      <c r="E83" s="5"/>
      <c r="F83" s="5"/>
      <c r="G83" s="5"/>
      <c r="H83" s="5"/>
      <c r="I83" s="5"/>
      <c r="J83" s="5"/>
      <c r="K83" s="5"/>
      <c r="L83" s="5"/>
      <c r="M83" s="5"/>
    </row>
    <row r="84">
      <c r="A84" s="108"/>
      <c r="B84" s="108"/>
      <c r="C84" s="5"/>
      <c r="D84" s="5"/>
      <c r="E84" s="5"/>
      <c r="F84" s="5"/>
      <c r="G84" s="5"/>
      <c r="H84" s="5"/>
      <c r="I84" s="5"/>
      <c r="J84" s="5"/>
      <c r="K84" s="5"/>
      <c r="L84" s="5"/>
      <c r="M84" s="5"/>
    </row>
    <row r="85">
      <c r="A85" s="108"/>
      <c r="B85" s="108"/>
      <c r="C85" s="5"/>
      <c r="D85" s="5"/>
      <c r="E85" s="5"/>
      <c r="F85" s="5"/>
      <c r="G85" s="5"/>
      <c r="H85" s="5"/>
      <c r="I85" s="5"/>
      <c r="J85" s="5"/>
      <c r="K85" s="5"/>
      <c r="L85" s="5"/>
      <c r="M85" s="5"/>
    </row>
    <row r="86">
      <c r="A86" s="108"/>
      <c r="B86" s="108"/>
      <c r="C86" s="5"/>
      <c r="D86" s="5"/>
      <c r="E86" s="5"/>
      <c r="F86" s="5"/>
      <c r="G86" s="5"/>
      <c r="H86" s="5"/>
      <c r="I86" s="5"/>
      <c r="J86" s="5"/>
      <c r="K86" s="5"/>
      <c r="L86" s="5"/>
      <c r="M86" s="5"/>
    </row>
    <row r="87">
      <c r="A87" s="108"/>
      <c r="B87" s="108"/>
      <c r="C87" s="5"/>
      <c r="D87" s="5"/>
      <c r="E87" s="5"/>
      <c r="F87" s="5"/>
      <c r="G87" s="5"/>
      <c r="H87" s="5"/>
      <c r="I87" s="5"/>
      <c r="J87" s="5"/>
      <c r="K87" s="5"/>
      <c r="L87" s="5"/>
      <c r="M87" s="5"/>
    </row>
    <row r="88">
      <c r="A88" s="108"/>
      <c r="B88" s="108"/>
      <c r="C88" s="5"/>
      <c r="D88" s="5"/>
      <c r="E88" s="5"/>
      <c r="F88" s="5"/>
      <c r="G88" s="5"/>
      <c r="H88" s="5"/>
      <c r="I88" s="5"/>
      <c r="J88" s="5"/>
      <c r="K88" s="5"/>
      <c r="L88" s="5"/>
      <c r="M88" s="5"/>
    </row>
    <row r="89">
      <c r="A89" s="108"/>
      <c r="B89" s="108"/>
      <c r="C89" s="5"/>
      <c r="D89" s="5"/>
      <c r="E89" s="5"/>
      <c r="F89" s="5"/>
      <c r="G89" s="5"/>
      <c r="H89" s="5"/>
      <c r="I89" s="5"/>
      <c r="J89" s="5"/>
      <c r="K89" s="5"/>
      <c r="L89" s="5"/>
      <c r="M89" s="5"/>
    </row>
    <row r="90">
      <c r="A90" s="108"/>
      <c r="B90" s="108"/>
      <c r="C90" s="5"/>
      <c r="D90" s="5"/>
      <c r="E90" s="5"/>
      <c r="F90" s="5"/>
      <c r="G90" s="5"/>
      <c r="H90" s="5"/>
      <c r="I90" s="5"/>
      <c r="J90" s="5"/>
      <c r="K90" s="5"/>
      <c r="L90" s="5"/>
      <c r="M90" s="5"/>
    </row>
    <row r="91">
      <c r="A91" s="108"/>
      <c r="B91" s="108"/>
      <c r="C91" s="5"/>
      <c r="D91" s="5"/>
      <c r="E91" s="5"/>
      <c r="F91" s="5"/>
      <c r="G91" s="5"/>
      <c r="H91" s="5"/>
      <c r="I91" s="5"/>
      <c r="J91" s="5"/>
      <c r="K91" s="5"/>
      <c r="L91" s="5"/>
      <c r="M91" s="5"/>
    </row>
    <row r="92">
      <c r="A92" s="108"/>
      <c r="B92" s="108"/>
      <c r="C92" s="5"/>
      <c r="D92" s="5"/>
      <c r="E92" s="5"/>
      <c r="F92" s="5"/>
      <c r="G92" s="5"/>
      <c r="H92" s="5"/>
      <c r="I92" s="5"/>
      <c r="J92" s="5"/>
      <c r="K92" s="5"/>
      <c r="L92" s="5"/>
      <c r="M92" s="5"/>
    </row>
    <row r="93">
      <c r="A93" s="108"/>
      <c r="B93" s="108"/>
      <c r="C93" s="5"/>
      <c r="D93" s="5"/>
      <c r="E93" s="5"/>
      <c r="F93" s="5"/>
      <c r="G93" s="5"/>
      <c r="H93" s="5"/>
      <c r="I93" s="5"/>
      <c r="J93" s="5"/>
      <c r="K93" s="5"/>
      <c r="L93" s="5"/>
      <c r="M93" s="5"/>
    </row>
    <row r="94">
      <c r="A94" s="108"/>
      <c r="B94" s="108"/>
      <c r="C94" s="5"/>
      <c r="D94" s="5"/>
      <c r="E94" s="5"/>
      <c r="F94" s="5"/>
      <c r="G94" s="5"/>
      <c r="H94" s="5"/>
      <c r="I94" s="5"/>
      <c r="J94" s="5"/>
      <c r="K94" s="5"/>
      <c r="L94" s="5"/>
      <c r="M94" s="5"/>
    </row>
    <row r="95">
      <c r="A95" s="108"/>
      <c r="B95" s="108"/>
      <c r="C95" s="5"/>
      <c r="D95" s="5"/>
      <c r="E95" s="5"/>
      <c r="F95" s="5"/>
      <c r="G95" s="5"/>
      <c r="H95" s="5"/>
      <c r="I95" s="5"/>
      <c r="J95" s="5"/>
      <c r="K95" s="5"/>
      <c r="L95" s="5"/>
      <c r="M95" s="5"/>
    </row>
    <row r="96">
      <c r="A96" s="108"/>
      <c r="B96" s="108"/>
      <c r="C96" s="5"/>
      <c r="D96" s="5"/>
      <c r="E96" s="5"/>
      <c r="F96" s="5"/>
      <c r="G96" s="5"/>
      <c r="H96" s="5"/>
      <c r="I96" s="5"/>
      <c r="J96" s="5"/>
      <c r="K96" s="5"/>
      <c r="L96" s="5"/>
      <c r="M96" s="5"/>
    </row>
    <row r="97">
      <c r="A97" s="108"/>
      <c r="B97" s="108"/>
      <c r="C97" s="5"/>
      <c r="D97" s="5"/>
      <c r="E97" s="5"/>
      <c r="F97" s="5"/>
      <c r="G97" s="5"/>
      <c r="H97" s="5"/>
      <c r="I97" s="5"/>
      <c r="J97" s="5"/>
      <c r="K97" s="5"/>
      <c r="L97" s="5"/>
      <c r="M97" s="5"/>
    </row>
    <row r="98">
      <c r="A98" s="108"/>
      <c r="B98" s="108"/>
      <c r="C98" s="5"/>
      <c r="D98" s="5"/>
      <c r="E98" s="5"/>
      <c r="F98" s="5"/>
      <c r="G98" s="5"/>
      <c r="H98" s="5"/>
      <c r="I98" s="5"/>
      <c r="J98" s="5"/>
      <c r="K98" s="5"/>
      <c r="L98" s="5"/>
      <c r="M98" s="5"/>
    </row>
    <row r="99">
      <c r="A99" s="108"/>
      <c r="B99" s="108"/>
      <c r="C99" s="5"/>
      <c r="D99" s="5"/>
      <c r="E99" s="5"/>
      <c r="F99" s="5"/>
      <c r="G99" s="5"/>
      <c r="H99" s="5"/>
      <c r="I99" s="5"/>
      <c r="J99" s="5"/>
      <c r="K99" s="5"/>
      <c r="L99" s="5"/>
      <c r="M99" s="5"/>
    </row>
    <row r="100">
      <c r="A100" s="108"/>
      <c r="B100" s="108"/>
      <c r="C100" s="5"/>
      <c r="D100" s="5"/>
      <c r="E100" s="5"/>
      <c r="F100" s="5"/>
      <c r="G100" s="5"/>
      <c r="H100" s="5"/>
      <c r="I100" s="5"/>
      <c r="J100" s="5"/>
      <c r="K100" s="5"/>
      <c r="L100" s="5"/>
      <c r="M100" s="5"/>
    </row>
    <row r="101">
      <c r="A101" s="108"/>
      <c r="B101" s="108"/>
      <c r="C101" s="5"/>
      <c r="D101" s="5"/>
      <c r="E101" s="5"/>
      <c r="F101" s="5"/>
      <c r="G101" s="5"/>
      <c r="H101" s="5"/>
      <c r="I101" s="5"/>
      <c r="J101" s="5"/>
      <c r="K101" s="5"/>
      <c r="L101" s="5"/>
      <c r="M101" s="5"/>
    </row>
    <row r="102">
      <c r="A102" s="108"/>
      <c r="B102" s="108"/>
      <c r="C102" s="5"/>
      <c r="D102" s="5"/>
      <c r="E102" s="5"/>
      <c r="F102" s="5"/>
      <c r="G102" s="5"/>
      <c r="H102" s="5"/>
      <c r="I102" s="5"/>
      <c r="J102" s="5"/>
      <c r="K102" s="5"/>
      <c r="L102" s="5"/>
      <c r="M102" s="5"/>
    </row>
    <row r="103">
      <c r="A103" s="108"/>
      <c r="B103" s="108"/>
      <c r="C103" s="5"/>
      <c r="D103" s="5"/>
      <c r="E103" s="5"/>
      <c r="F103" s="5"/>
      <c r="G103" s="5"/>
      <c r="H103" s="5"/>
      <c r="I103" s="5"/>
      <c r="J103" s="5"/>
      <c r="K103" s="5"/>
      <c r="L103" s="5"/>
      <c r="M103" s="5"/>
    </row>
    <row r="104">
      <c r="A104" s="108"/>
      <c r="B104" s="108"/>
      <c r="C104" s="5"/>
      <c r="D104" s="5"/>
      <c r="E104" s="5"/>
      <c r="F104" s="5"/>
      <c r="G104" s="5"/>
      <c r="H104" s="5"/>
      <c r="I104" s="5"/>
      <c r="J104" s="5"/>
      <c r="K104" s="5"/>
      <c r="L104" s="5"/>
      <c r="M104" s="5"/>
    </row>
    <row r="105">
      <c r="A105" s="108"/>
      <c r="B105" s="108"/>
      <c r="C105" s="5"/>
      <c r="D105" s="5"/>
      <c r="E105" s="5"/>
      <c r="F105" s="5"/>
      <c r="G105" s="5"/>
      <c r="H105" s="5"/>
      <c r="I105" s="5"/>
      <c r="J105" s="5"/>
      <c r="K105" s="5"/>
      <c r="L105" s="5"/>
      <c r="M105" s="5"/>
    </row>
    <row r="106">
      <c r="A106" s="108"/>
      <c r="B106" s="108"/>
      <c r="C106" s="5"/>
      <c r="D106" s="5"/>
      <c r="E106" s="5"/>
      <c r="F106" s="5"/>
      <c r="G106" s="5"/>
      <c r="H106" s="5"/>
      <c r="I106" s="5"/>
      <c r="J106" s="5"/>
      <c r="K106" s="5"/>
      <c r="L106" s="5"/>
      <c r="M106" s="5"/>
    </row>
    <row r="107">
      <c r="A107" s="108"/>
      <c r="B107" s="108"/>
      <c r="C107" s="5"/>
      <c r="D107" s="5"/>
      <c r="E107" s="5"/>
      <c r="F107" s="5"/>
      <c r="G107" s="5"/>
      <c r="H107" s="5"/>
      <c r="I107" s="5"/>
      <c r="J107" s="5"/>
      <c r="K107" s="5"/>
      <c r="L107" s="5"/>
      <c r="M107" s="5"/>
    </row>
    <row r="108">
      <c r="A108" s="108"/>
      <c r="B108" s="108"/>
      <c r="C108" s="5"/>
      <c r="D108" s="5"/>
      <c r="E108" s="5"/>
      <c r="F108" s="5"/>
      <c r="G108" s="5"/>
      <c r="H108" s="5"/>
      <c r="I108" s="5"/>
      <c r="J108" s="5"/>
      <c r="K108" s="5"/>
      <c r="L108" s="5"/>
      <c r="M108" s="5"/>
    </row>
    <row r="109">
      <c r="A109" s="108"/>
      <c r="B109" s="108"/>
      <c r="C109" s="5"/>
      <c r="D109" s="5"/>
      <c r="E109" s="5"/>
      <c r="F109" s="5"/>
      <c r="G109" s="5"/>
      <c r="H109" s="5"/>
      <c r="I109" s="5"/>
      <c r="J109" s="5"/>
      <c r="K109" s="5"/>
      <c r="L109" s="5"/>
      <c r="M109" s="5"/>
    </row>
    <row r="110">
      <c r="A110" s="108"/>
      <c r="B110" s="108"/>
      <c r="C110" s="5"/>
      <c r="D110" s="5"/>
      <c r="E110" s="5"/>
      <c r="F110" s="5"/>
      <c r="G110" s="5"/>
      <c r="H110" s="5"/>
      <c r="I110" s="5"/>
      <c r="J110" s="5"/>
      <c r="K110" s="5"/>
      <c r="L110" s="5"/>
      <c r="M110" s="5"/>
    </row>
    <row r="111">
      <c r="A111" s="108"/>
      <c r="B111" s="108"/>
      <c r="C111" s="5"/>
      <c r="D111" s="5"/>
      <c r="E111" s="5"/>
      <c r="F111" s="5"/>
      <c r="G111" s="5"/>
      <c r="H111" s="5"/>
      <c r="I111" s="5"/>
      <c r="J111" s="5"/>
      <c r="K111" s="5"/>
      <c r="L111" s="5"/>
      <c r="M111" s="5"/>
    </row>
    <row r="112">
      <c r="A112" s="108"/>
      <c r="B112" s="108"/>
      <c r="C112" s="5"/>
      <c r="D112" s="5"/>
      <c r="E112" s="5"/>
      <c r="F112" s="5"/>
      <c r="G112" s="5"/>
      <c r="H112" s="5"/>
      <c r="I112" s="5"/>
      <c r="J112" s="5"/>
      <c r="K112" s="5"/>
      <c r="L112" s="5"/>
      <c r="M112" s="5"/>
    </row>
    <row r="113">
      <c r="A113" s="108"/>
      <c r="B113" s="108"/>
      <c r="C113" s="5"/>
      <c r="D113" s="5"/>
      <c r="E113" s="5"/>
      <c r="F113" s="5"/>
      <c r="G113" s="5"/>
      <c r="H113" s="5"/>
      <c r="I113" s="5"/>
      <c r="J113" s="5"/>
      <c r="K113" s="5"/>
      <c r="L113" s="5"/>
      <c r="M113" s="5"/>
    </row>
    <row r="114">
      <c r="A114" s="108"/>
      <c r="B114" s="108"/>
      <c r="C114" s="5"/>
      <c r="D114" s="5"/>
      <c r="E114" s="5"/>
      <c r="F114" s="5"/>
      <c r="G114" s="5"/>
      <c r="H114" s="5"/>
      <c r="I114" s="5"/>
      <c r="J114" s="5"/>
      <c r="K114" s="5"/>
      <c r="L114" s="5"/>
      <c r="M114" s="5"/>
    </row>
    <row r="115">
      <c r="A115" s="108"/>
      <c r="B115" s="108"/>
      <c r="C115" s="5"/>
      <c r="D115" s="5"/>
      <c r="E115" s="5"/>
      <c r="F115" s="5"/>
      <c r="G115" s="5"/>
      <c r="H115" s="5"/>
      <c r="I115" s="5"/>
      <c r="J115" s="5"/>
      <c r="K115" s="5"/>
      <c r="L115" s="5"/>
      <c r="M115" s="5"/>
    </row>
    <row r="116">
      <c r="A116" s="108"/>
      <c r="B116" s="108"/>
      <c r="C116" s="5"/>
      <c r="D116" s="5"/>
      <c r="E116" s="5"/>
      <c r="F116" s="5"/>
      <c r="G116" s="5"/>
      <c r="H116" s="5"/>
      <c r="I116" s="5"/>
      <c r="J116" s="5"/>
      <c r="K116" s="5"/>
      <c r="L116" s="5"/>
      <c r="M116" s="5"/>
    </row>
    <row r="117">
      <c r="A117" s="108"/>
      <c r="B117" s="108"/>
      <c r="C117" s="5"/>
      <c r="D117" s="5"/>
      <c r="E117" s="5"/>
      <c r="F117" s="5"/>
      <c r="G117" s="5"/>
      <c r="H117" s="5"/>
      <c r="I117" s="5"/>
      <c r="J117" s="5"/>
      <c r="K117" s="5"/>
      <c r="L117" s="5"/>
      <c r="M117" s="5"/>
    </row>
    <row r="118">
      <c r="A118" s="108"/>
      <c r="B118" s="108"/>
      <c r="C118" s="5"/>
      <c r="D118" s="5"/>
      <c r="E118" s="5"/>
      <c r="F118" s="5"/>
      <c r="G118" s="5"/>
      <c r="H118" s="5"/>
      <c r="I118" s="5"/>
      <c r="J118" s="5"/>
      <c r="K118" s="5"/>
      <c r="L118" s="5"/>
      <c r="M118" s="5"/>
    </row>
    <row r="119">
      <c r="A119" s="108"/>
      <c r="B119" s="108"/>
      <c r="C119" s="5"/>
      <c r="D119" s="5"/>
      <c r="E119" s="5"/>
      <c r="F119" s="5"/>
      <c r="G119" s="5"/>
      <c r="H119" s="5"/>
      <c r="I119" s="5"/>
      <c r="J119" s="5"/>
      <c r="K119" s="5"/>
      <c r="L119" s="5"/>
      <c r="M119" s="5"/>
    </row>
    <row r="120">
      <c r="A120" s="108"/>
      <c r="B120" s="108"/>
      <c r="C120" s="5"/>
      <c r="D120" s="5"/>
      <c r="E120" s="5"/>
      <c r="F120" s="5"/>
      <c r="G120" s="5"/>
      <c r="H120" s="5"/>
      <c r="I120" s="5"/>
      <c r="J120" s="5"/>
      <c r="K120" s="5"/>
      <c r="L120" s="5"/>
      <c r="M120" s="5"/>
    </row>
    <row r="121">
      <c r="A121" s="108"/>
      <c r="B121" s="108"/>
      <c r="C121" s="5"/>
      <c r="D121" s="5"/>
      <c r="E121" s="5"/>
      <c r="F121" s="5"/>
      <c r="G121" s="5"/>
      <c r="H121" s="5"/>
      <c r="I121" s="5"/>
      <c r="J121" s="5"/>
      <c r="K121" s="5"/>
      <c r="L121" s="5"/>
      <c r="M121" s="5"/>
    </row>
    <row r="122">
      <c r="A122" s="108"/>
      <c r="B122" s="108"/>
      <c r="C122" s="5"/>
      <c r="D122" s="5"/>
      <c r="E122" s="5"/>
      <c r="F122" s="5"/>
      <c r="G122" s="5"/>
      <c r="H122" s="5"/>
      <c r="I122" s="5"/>
      <c r="J122" s="5"/>
      <c r="K122" s="5"/>
      <c r="L122" s="5"/>
      <c r="M122" s="5"/>
    </row>
    <row r="123">
      <c r="A123" s="108"/>
      <c r="B123" s="108"/>
      <c r="C123" s="5"/>
      <c r="D123" s="5"/>
      <c r="E123" s="5"/>
      <c r="F123" s="5"/>
      <c r="G123" s="5"/>
      <c r="H123" s="5"/>
      <c r="I123" s="5"/>
      <c r="J123" s="5"/>
      <c r="K123" s="5"/>
      <c r="L123" s="5"/>
      <c r="M123" s="5"/>
    </row>
    <row r="124">
      <c r="A124" s="108"/>
      <c r="B124" s="108"/>
      <c r="C124" s="5"/>
      <c r="D124" s="5"/>
      <c r="E124" s="5"/>
      <c r="F124" s="5"/>
      <c r="G124" s="5"/>
      <c r="H124" s="5"/>
      <c r="I124" s="5"/>
      <c r="J124" s="5"/>
      <c r="K124" s="5"/>
      <c r="L124" s="5"/>
      <c r="M124" s="5"/>
    </row>
    <row r="125">
      <c r="A125" s="108"/>
      <c r="B125" s="108"/>
      <c r="C125" s="5"/>
      <c r="D125" s="5"/>
      <c r="E125" s="5"/>
      <c r="F125" s="5"/>
      <c r="G125" s="5"/>
      <c r="H125" s="5"/>
      <c r="I125" s="5"/>
      <c r="J125" s="5"/>
      <c r="K125" s="5"/>
      <c r="L125" s="5"/>
      <c r="M125" s="5"/>
    </row>
    <row r="126">
      <c r="A126" s="108"/>
      <c r="B126" s="108"/>
      <c r="C126" s="5"/>
      <c r="D126" s="5"/>
      <c r="E126" s="5"/>
      <c r="F126" s="5"/>
      <c r="G126" s="5"/>
      <c r="H126" s="5"/>
      <c r="I126" s="5"/>
      <c r="J126" s="5"/>
      <c r="K126" s="5"/>
      <c r="L126" s="5"/>
      <c r="M126" s="5"/>
    </row>
    <row r="127">
      <c r="A127" s="108"/>
      <c r="B127" s="108"/>
      <c r="C127" s="5"/>
      <c r="D127" s="5"/>
      <c r="E127" s="5"/>
      <c r="F127" s="5"/>
      <c r="G127" s="5"/>
      <c r="H127" s="5"/>
      <c r="I127" s="5"/>
      <c r="J127" s="5"/>
      <c r="K127" s="5"/>
      <c r="L127" s="5"/>
      <c r="M127" s="5"/>
    </row>
    <row r="128">
      <c r="A128" s="108"/>
      <c r="B128" s="108"/>
      <c r="C128" s="5"/>
      <c r="D128" s="5"/>
      <c r="E128" s="5"/>
      <c r="F128" s="5"/>
      <c r="G128" s="5"/>
      <c r="H128" s="5"/>
      <c r="I128" s="5"/>
      <c r="J128" s="5"/>
      <c r="K128" s="5"/>
      <c r="L128" s="5"/>
      <c r="M128" s="5"/>
    </row>
    <row r="129">
      <c r="A129" s="108"/>
      <c r="B129" s="108"/>
      <c r="C129" s="5"/>
      <c r="D129" s="5"/>
      <c r="E129" s="5"/>
      <c r="F129" s="5"/>
      <c r="G129" s="5"/>
      <c r="H129" s="5"/>
      <c r="I129" s="5"/>
      <c r="J129" s="5"/>
      <c r="K129" s="5"/>
      <c r="L129" s="5"/>
      <c r="M129" s="5"/>
    </row>
    <row r="130">
      <c r="A130" s="108"/>
      <c r="B130" s="108"/>
      <c r="C130" s="5"/>
      <c r="D130" s="5"/>
      <c r="E130" s="5"/>
      <c r="F130" s="5"/>
      <c r="G130" s="5"/>
      <c r="H130" s="5"/>
      <c r="I130" s="5"/>
      <c r="J130" s="5"/>
      <c r="K130" s="5"/>
      <c r="L130" s="5"/>
      <c r="M130" s="5"/>
    </row>
    <row r="131">
      <c r="A131" s="108"/>
      <c r="B131" s="108"/>
      <c r="C131" s="5"/>
      <c r="D131" s="5"/>
      <c r="E131" s="5"/>
      <c r="F131" s="5"/>
      <c r="G131" s="5"/>
      <c r="H131" s="5"/>
      <c r="I131" s="5"/>
      <c r="J131" s="5"/>
      <c r="K131" s="5"/>
      <c r="L131" s="5"/>
      <c r="M131" s="5"/>
    </row>
    <row r="132">
      <c r="A132" s="108"/>
      <c r="B132" s="108"/>
      <c r="C132" s="5"/>
      <c r="D132" s="5"/>
      <c r="E132" s="5"/>
      <c r="F132" s="5"/>
      <c r="G132" s="5"/>
      <c r="H132" s="5"/>
      <c r="I132" s="5"/>
      <c r="J132" s="5"/>
      <c r="K132" s="5"/>
      <c r="L132" s="5"/>
      <c r="M132" s="5"/>
    </row>
    <row r="133">
      <c r="A133" s="108"/>
      <c r="B133" s="108"/>
      <c r="C133" s="5"/>
      <c r="D133" s="5"/>
      <c r="E133" s="5"/>
      <c r="F133" s="5"/>
      <c r="G133" s="5"/>
      <c r="H133" s="5"/>
      <c r="I133" s="5"/>
      <c r="J133" s="5"/>
      <c r="K133" s="5"/>
      <c r="L133" s="5"/>
      <c r="M133" s="5"/>
    </row>
    <row r="134">
      <c r="A134" s="108"/>
      <c r="B134" s="108"/>
      <c r="C134" s="5"/>
      <c r="D134" s="5"/>
      <c r="E134" s="5"/>
      <c r="F134" s="5"/>
      <c r="G134" s="5"/>
      <c r="H134" s="5"/>
      <c r="I134" s="5"/>
      <c r="J134" s="5"/>
      <c r="K134" s="5"/>
      <c r="L134" s="5"/>
      <c r="M134" s="5"/>
    </row>
    <row r="135">
      <c r="A135" s="108"/>
      <c r="B135" s="108"/>
      <c r="C135" s="5"/>
      <c r="D135" s="5"/>
      <c r="E135" s="5"/>
      <c r="F135" s="5"/>
      <c r="G135" s="5"/>
      <c r="H135" s="5"/>
      <c r="I135" s="5"/>
      <c r="J135" s="5"/>
      <c r="K135" s="5"/>
      <c r="L135" s="5"/>
      <c r="M135" s="5"/>
    </row>
    <row r="136">
      <c r="A136" s="108"/>
      <c r="B136" s="108"/>
      <c r="C136" s="5"/>
      <c r="D136" s="5"/>
      <c r="E136" s="5"/>
      <c r="F136" s="5"/>
      <c r="G136" s="5"/>
      <c r="H136" s="5"/>
      <c r="I136" s="5"/>
      <c r="J136" s="5"/>
      <c r="K136" s="5"/>
      <c r="L136" s="5"/>
      <c r="M136" s="5"/>
    </row>
    <row r="137">
      <c r="A137" s="108"/>
      <c r="B137" s="108"/>
      <c r="C137" s="5"/>
      <c r="D137" s="5"/>
      <c r="E137" s="5"/>
      <c r="F137" s="5"/>
      <c r="G137" s="5"/>
      <c r="H137" s="5"/>
      <c r="I137" s="5"/>
      <c r="J137" s="5"/>
      <c r="K137" s="5"/>
      <c r="L137" s="5"/>
      <c r="M137" s="5"/>
    </row>
    <row r="138">
      <c r="A138" s="108"/>
      <c r="B138" s="108"/>
      <c r="C138" s="5"/>
      <c r="D138" s="5"/>
      <c r="E138" s="5"/>
      <c r="F138" s="5"/>
      <c r="G138" s="5"/>
      <c r="H138" s="5"/>
      <c r="I138" s="5"/>
      <c r="J138" s="5"/>
      <c r="K138" s="5"/>
      <c r="L138" s="5"/>
      <c r="M138" s="5"/>
    </row>
    <row r="139">
      <c r="A139" s="108"/>
      <c r="B139" s="108"/>
      <c r="C139" s="5"/>
      <c r="D139" s="5"/>
      <c r="E139" s="5"/>
      <c r="F139" s="5"/>
      <c r="G139" s="5"/>
      <c r="H139" s="5"/>
      <c r="I139" s="5"/>
      <c r="J139" s="5"/>
      <c r="K139" s="5"/>
      <c r="L139" s="5"/>
      <c r="M139" s="5"/>
    </row>
    <row r="140">
      <c r="A140" s="108"/>
      <c r="B140" s="108"/>
      <c r="C140" s="5"/>
      <c r="D140" s="5"/>
      <c r="E140" s="5"/>
      <c r="F140" s="5"/>
      <c r="G140" s="5"/>
      <c r="H140" s="5"/>
      <c r="I140" s="5"/>
      <c r="J140" s="5"/>
      <c r="K140" s="5"/>
      <c r="L140" s="5"/>
      <c r="M140" s="5"/>
    </row>
    <row r="141">
      <c r="A141" s="108"/>
      <c r="B141" s="108"/>
      <c r="C141" s="5"/>
      <c r="D141" s="5"/>
      <c r="E141" s="5"/>
      <c r="F141" s="5"/>
      <c r="G141" s="5"/>
      <c r="H141" s="5"/>
      <c r="I141" s="5"/>
      <c r="J141" s="5"/>
      <c r="K141" s="5"/>
      <c r="L141" s="5"/>
      <c r="M141" s="5"/>
    </row>
    <row r="142">
      <c r="A142" s="108"/>
      <c r="B142" s="108"/>
      <c r="C142" s="5"/>
      <c r="D142" s="5"/>
      <c r="E142" s="5"/>
      <c r="F142" s="5"/>
      <c r="G142" s="5"/>
      <c r="H142" s="5"/>
      <c r="I142" s="5"/>
      <c r="J142" s="5"/>
      <c r="K142" s="5"/>
      <c r="L142" s="5"/>
      <c r="M142" s="5"/>
    </row>
    <row r="143">
      <c r="A143" s="108"/>
      <c r="B143" s="108"/>
      <c r="C143" s="5"/>
      <c r="D143" s="5"/>
      <c r="E143" s="5"/>
      <c r="F143" s="5"/>
      <c r="G143" s="5"/>
      <c r="H143" s="5"/>
      <c r="I143" s="5"/>
      <c r="J143" s="5"/>
      <c r="K143" s="5"/>
      <c r="L143" s="5"/>
      <c r="M143" s="5"/>
    </row>
    <row r="144">
      <c r="A144" s="108"/>
      <c r="B144" s="108"/>
      <c r="C144" s="5"/>
      <c r="D144" s="5"/>
      <c r="E144" s="5"/>
      <c r="F144" s="5"/>
      <c r="G144" s="5"/>
      <c r="H144" s="5"/>
      <c r="I144" s="5"/>
      <c r="J144" s="5"/>
      <c r="K144" s="5"/>
      <c r="L144" s="5"/>
      <c r="M144" s="5"/>
    </row>
    <row r="145">
      <c r="A145" s="108"/>
      <c r="B145" s="108"/>
      <c r="C145" s="5"/>
      <c r="D145" s="5"/>
      <c r="E145" s="5"/>
      <c r="F145" s="5"/>
      <c r="G145" s="5"/>
      <c r="H145" s="5"/>
      <c r="I145" s="5"/>
      <c r="J145" s="5"/>
      <c r="K145" s="5"/>
      <c r="L145" s="5"/>
      <c r="M145" s="5"/>
    </row>
    <row r="146">
      <c r="A146" s="108"/>
      <c r="B146" s="108"/>
      <c r="C146" s="5"/>
      <c r="D146" s="5"/>
      <c r="E146" s="5"/>
      <c r="F146" s="5"/>
      <c r="G146" s="5"/>
      <c r="H146" s="5"/>
      <c r="I146" s="5"/>
      <c r="J146" s="5"/>
      <c r="K146" s="5"/>
      <c r="L146" s="5"/>
      <c r="M146" s="5"/>
    </row>
    <row r="147">
      <c r="A147" s="108"/>
      <c r="B147" s="108"/>
      <c r="C147" s="5"/>
      <c r="D147" s="5"/>
      <c r="E147" s="5"/>
      <c r="F147" s="5"/>
      <c r="G147" s="5"/>
      <c r="H147" s="5"/>
      <c r="I147" s="5"/>
      <c r="J147" s="5"/>
      <c r="K147" s="5"/>
      <c r="L147" s="5"/>
      <c r="M147" s="5"/>
    </row>
    <row r="148">
      <c r="A148" s="108"/>
      <c r="B148" s="108"/>
      <c r="C148" s="5"/>
      <c r="D148" s="5"/>
      <c r="E148" s="5"/>
      <c r="F148" s="5"/>
      <c r="G148" s="5"/>
      <c r="H148" s="5"/>
      <c r="I148" s="5"/>
      <c r="J148" s="5"/>
      <c r="K148" s="5"/>
      <c r="L148" s="5"/>
      <c r="M148" s="5"/>
    </row>
    <row r="149">
      <c r="A149" s="108"/>
      <c r="B149" s="108"/>
      <c r="C149" s="5"/>
      <c r="D149" s="5"/>
      <c r="E149" s="5"/>
      <c r="F149" s="5"/>
      <c r="G149" s="5"/>
      <c r="H149" s="5"/>
      <c r="I149" s="5"/>
      <c r="J149" s="5"/>
      <c r="K149" s="5"/>
      <c r="L149" s="5"/>
      <c r="M149" s="5"/>
    </row>
    <row r="150">
      <c r="A150" s="108"/>
      <c r="B150" s="108"/>
      <c r="C150" s="5"/>
      <c r="D150" s="5"/>
      <c r="E150" s="5"/>
      <c r="F150" s="5"/>
      <c r="G150" s="5"/>
      <c r="H150" s="5"/>
      <c r="I150" s="5"/>
      <c r="J150" s="5"/>
      <c r="K150" s="5"/>
      <c r="L150" s="5"/>
      <c r="M150" s="5"/>
    </row>
    <row r="151">
      <c r="A151" s="108"/>
      <c r="B151" s="108"/>
      <c r="C151" s="5"/>
      <c r="D151" s="5"/>
      <c r="E151" s="5"/>
      <c r="F151" s="5"/>
      <c r="G151" s="5"/>
      <c r="H151" s="5"/>
      <c r="I151" s="5"/>
      <c r="J151" s="5"/>
      <c r="K151" s="5"/>
      <c r="L151" s="5"/>
      <c r="M151" s="5"/>
    </row>
    <row r="152">
      <c r="A152" s="108"/>
      <c r="B152" s="108"/>
      <c r="C152" s="5"/>
      <c r="D152" s="5"/>
      <c r="E152" s="5"/>
      <c r="F152" s="5"/>
      <c r="G152" s="5"/>
      <c r="H152" s="5"/>
      <c r="I152" s="5"/>
      <c r="J152" s="5"/>
      <c r="K152" s="5"/>
      <c r="L152" s="5"/>
      <c r="M152" s="5"/>
    </row>
    <row r="153">
      <c r="A153" s="108"/>
      <c r="B153" s="108"/>
      <c r="C153" s="5"/>
      <c r="D153" s="5"/>
      <c r="E153" s="5"/>
      <c r="F153" s="5"/>
      <c r="G153" s="5"/>
      <c r="H153" s="5"/>
      <c r="I153" s="5"/>
      <c r="J153" s="5"/>
      <c r="K153" s="5"/>
      <c r="L153" s="5"/>
      <c r="M153" s="5"/>
    </row>
    <row r="154">
      <c r="A154" s="108"/>
      <c r="B154" s="108"/>
      <c r="C154" s="5"/>
      <c r="D154" s="5"/>
      <c r="E154" s="5"/>
      <c r="F154" s="5"/>
      <c r="G154" s="5"/>
      <c r="H154" s="5"/>
      <c r="I154" s="5"/>
      <c r="J154" s="5"/>
      <c r="K154" s="5"/>
      <c r="L154" s="5"/>
      <c r="M154" s="5"/>
    </row>
    <row r="155">
      <c r="A155" s="108"/>
      <c r="B155" s="108"/>
      <c r="C155" s="5"/>
      <c r="D155" s="5"/>
      <c r="E155" s="5"/>
      <c r="F155" s="5"/>
      <c r="G155" s="5"/>
      <c r="H155" s="5"/>
      <c r="I155" s="5"/>
      <c r="J155" s="5"/>
      <c r="K155" s="5"/>
      <c r="L155" s="5"/>
      <c r="M155" s="5"/>
    </row>
    <row r="156">
      <c r="A156" s="108"/>
      <c r="B156" s="108"/>
      <c r="C156" s="5"/>
      <c r="D156" s="5"/>
      <c r="E156" s="5"/>
      <c r="F156" s="5"/>
      <c r="G156" s="5"/>
      <c r="H156" s="5"/>
      <c r="I156" s="5"/>
      <c r="J156" s="5"/>
      <c r="K156" s="5"/>
      <c r="L156" s="5"/>
      <c r="M156" s="5"/>
    </row>
    <row r="157">
      <c r="A157" s="108"/>
      <c r="B157" s="108"/>
      <c r="C157" s="5"/>
      <c r="D157" s="5"/>
      <c r="E157" s="5"/>
      <c r="F157" s="5"/>
      <c r="G157" s="5"/>
      <c r="H157" s="5"/>
      <c r="I157" s="5"/>
      <c r="J157" s="5"/>
      <c r="K157" s="5"/>
      <c r="L157" s="5"/>
      <c r="M157" s="5"/>
    </row>
    <row r="158">
      <c r="A158" s="108"/>
      <c r="B158" s="108"/>
      <c r="C158" s="5"/>
      <c r="D158" s="5"/>
      <c r="E158" s="5"/>
      <c r="F158" s="5"/>
      <c r="G158" s="5"/>
      <c r="H158" s="5"/>
      <c r="I158" s="5"/>
      <c r="J158" s="5"/>
      <c r="K158" s="5"/>
      <c r="L158" s="5"/>
      <c r="M158" s="5"/>
    </row>
    <row r="159">
      <c r="A159" s="108"/>
      <c r="B159" s="108"/>
      <c r="C159" s="5"/>
      <c r="D159" s="5"/>
      <c r="E159" s="5"/>
      <c r="F159" s="5"/>
      <c r="G159" s="5"/>
      <c r="H159" s="5"/>
      <c r="I159" s="5"/>
      <c r="J159" s="5"/>
      <c r="K159" s="5"/>
      <c r="L159" s="5"/>
      <c r="M159" s="5"/>
    </row>
    <row r="160">
      <c r="A160" s="108"/>
      <c r="B160" s="108"/>
      <c r="C160" s="5"/>
      <c r="D160" s="5"/>
      <c r="E160" s="5"/>
      <c r="F160" s="5"/>
      <c r="G160" s="5"/>
      <c r="H160" s="5"/>
      <c r="I160" s="5"/>
      <c r="J160" s="5"/>
      <c r="K160" s="5"/>
      <c r="L160" s="5"/>
      <c r="M160" s="5"/>
    </row>
    <row r="161">
      <c r="A161" s="108"/>
      <c r="B161" s="108"/>
      <c r="C161" s="5"/>
      <c r="D161" s="5"/>
      <c r="E161" s="5"/>
      <c r="F161" s="5"/>
      <c r="G161" s="5"/>
      <c r="H161" s="5"/>
      <c r="I161" s="5"/>
      <c r="J161" s="5"/>
      <c r="K161" s="5"/>
      <c r="L161" s="5"/>
      <c r="M161" s="5"/>
    </row>
    <row r="162">
      <c r="A162" s="108"/>
      <c r="B162" s="108"/>
      <c r="C162" s="5"/>
      <c r="D162" s="5"/>
      <c r="E162" s="5"/>
      <c r="F162" s="5"/>
      <c r="G162" s="5"/>
      <c r="H162" s="5"/>
      <c r="I162" s="5"/>
      <c r="J162" s="5"/>
      <c r="K162" s="5"/>
      <c r="L162" s="5"/>
      <c r="M162" s="5"/>
    </row>
    <row r="163">
      <c r="A163" s="108"/>
      <c r="B163" s="108"/>
      <c r="C163" s="5"/>
      <c r="D163" s="5"/>
      <c r="E163" s="5"/>
      <c r="F163" s="5"/>
      <c r="G163" s="5"/>
      <c r="H163" s="5"/>
      <c r="I163" s="5"/>
      <c r="J163" s="5"/>
      <c r="K163" s="5"/>
      <c r="L163" s="5"/>
      <c r="M163" s="5"/>
    </row>
    <row r="164">
      <c r="A164" s="108"/>
      <c r="B164" s="108"/>
      <c r="C164" s="5"/>
      <c r="D164" s="5"/>
      <c r="E164" s="5"/>
      <c r="F164" s="5"/>
      <c r="G164" s="5"/>
      <c r="H164" s="5"/>
      <c r="I164" s="5"/>
      <c r="J164" s="5"/>
      <c r="K164" s="5"/>
      <c r="L164" s="5"/>
      <c r="M164" s="5"/>
    </row>
    <row r="165">
      <c r="A165" s="108"/>
      <c r="B165" s="108"/>
      <c r="C165" s="5"/>
      <c r="D165" s="5"/>
      <c r="E165" s="5"/>
      <c r="F165" s="5"/>
      <c r="G165" s="5"/>
      <c r="H165" s="5"/>
      <c r="I165" s="5"/>
      <c r="J165" s="5"/>
      <c r="K165" s="5"/>
      <c r="L165" s="5"/>
      <c r="M165" s="5"/>
    </row>
    <row r="166">
      <c r="A166" s="108"/>
      <c r="B166" s="108"/>
      <c r="C166" s="5"/>
      <c r="D166" s="5"/>
      <c r="E166" s="5"/>
      <c r="F166" s="5"/>
      <c r="G166" s="5"/>
      <c r="H166" s="5"/>
      <c r="I166" s="5"/>
      <c r="J166" s="5"/>
      <c r="K166" s="5"/>
      <c r="L166" s="5"/>
      <c r="M166" s="5"/>
    </row>
    <row r="167">
      <c r="A167" s="108"/>
      <c r="B167" s="108"/>
      <c r="C167" s="5"/>
      <c r="D167" s="5"/>
      <c r="E167" s="5"/>
      <c r="F167" s="5"/>
      <c r="G167" s="5"/>
      <c r="H167" s="5"/>
      <c r="I167" s="5"/>
      <c r="J167" s="5"/>
      <c r="K167" s="5"/>
      <c r="L167" s="5"/>
      <c r="M167" s="5"/>
    </row>
    <row r="168">
      <c r="A168" s="108"/>
      <c r="B168" s="108"/>
      <c r="C168" s="5"/>
      <c r="D168" s="5"/>
      <c r="E168" s="5"/>
      <c r="F168" s="5"/>
      <c r="G168" s="5"/>
      <c r="H168" s="5"/>
      <c r="I168" s="5"/>
      <c r="J168" s="5"/>
      <c r="K168" s="5"/>
      <c r="L168" s="5"/>
      <c r="M168" s="5"/>
    </row>
    <row r="169">
      <c r="A169" s="108"/>
      <c r="B169" s="108"/>
      <c r="C169" s="5"/>
      <c r="D169" s="5"/>
      <c r="E169" s="5"/>
      <c r="F169" s="5"/>
      <c r="G169" s="5"/>
      <c r="H169" s="5"/>
      <c r="I169" s="5"/>
      <c r="J169" s="5"/>
      <c r="K169" s="5"/>
      <c r="L169" s="5"/>
      <c r="M169" s="5"/>
    </row>
    <row r="170">
      <c r="A170" s="108"/>
      <c r="B170" s="108"/>
      <c r="C170" s="5"/>
      <c r="D170" s="5"/>
      <c r="E170" s="5"/>
      <c r="F170" s="5"/>
      <c r="G170" s="5"/>
      <c r="H170" s="5"/>
      <c r="I170" s="5"/>
      <c r="J170" s="5"/>
      <c r="K170" s="5"/>
      <c r="L170" s="5"/>
      <c r="M170" s="5"/>
    </row>
    <row r="171">
      <c r="A171" s="108"/>
      <c r="B171" s="108"/>
      <c r="C171" s="5"/>
      <c r="D171" s="5"/>
      <c r="E171" s="5"/>
      <c r="F171" s="5"/>
      <c r="G171" s="5"/>
      <c r="H171" s="5"/>
      <c r="I171" s="5"/>
      <c r="J171" s="5"/>
      <c r="K171" s="5"/>
      <c r="L171" s="5"/>
      <c r="M171" s="5"/>
    </row>
    <row r="172">
      <c r="A172" s="108"/>
      <c r="B172" s="108"/>
      <c r="C172" s="5"/>
      <c r="D172" s="5"/>
      <c r="E172" s="5"/>
      <c r="F172" s="5"/>
      <c r="G172" s="5"/>
      <c r="H172" s="5"/>
      <c r="I172" s="5"/>
      <c r="J172" s="5"/>
      <c r="K172" s="5"/>
      <c r="L172" s="5"/>
      <c r="M172" s="5"/>
    </row>
    <row r="173">
      <c r="A173" s="108"/>
      <c r="B173" s="108"/>
      <c r="C173" s="5"/>
      <c r="D173" s="5"/>
      <c r="E173" s="5"/>
      <c r="F173" s="5"/>
      <c r="G173" s="5"/>
      <c r="H173" s="5"/>
      <c r="I173" s="5"/>
      <c r="J173" s="5"/>
      <c r="K173" s="5"/>
      <c r="L173" s="5"/>
      <c r="M173" s="5"/>
    </row>
    <row r="174">
      <c r="A174" s="108"/>
      <c r="B174" s="108"/>
      <c r="C174" s="5"/>
      <c r="D174" s="5"/>
      <c r="E174" s="5"/>
      <c r="F174" s="5"/>
      <c r="G174" s="5"/>
      <c r="H174" s="5"/>
      <c r="I174" s="5"/>
      <c r="J174" s="5"/>
      <c r="K174" s="5"/>
      <c r="L174" s="5"/>
      <c r="M174" s="5"/>
    </row>
    <row r="175">
      <c r="A175" s="108"/>
      <c r="B175" s="108"/>
      <c r="C175" s="5"/>
      <c r="D175" s="5"/>
      <c r="E175" s="5"/>
      <c r="F175" s="5"/>
      <c r="G175" s="5"/>
      <c r="H175" s="5"/>
      <c r="I175" s="5"/>
      <c r="J175" s="5"/>
      <c r="K175" s="5"/>
      <c r="L175" s="5"/>
      <c r="M175" s="5"/>
    </row>
    <row r="176">
      <c r="A176" s="108"/>
      <c r="B176" s="108"/>
      <c r="C176" s="5"/>
      <c r="D176" s="5"/>
      <c r="E176" s="5"/>
      <c r="F176" s="5"/>
      <c r="G176" s="5"/>
      <c r="H176" s="5"/>
      <c r="I176" s="5"/>
      <c r="J176" s="5"/>
      <c r="K176" s="5"/>
      <c r="L176" s="5"/>
      <c r="M176" s="5"/>
    </row>
    <row r="177">
      <c r="A177" s="108"/>
      <c r="B177" s="108"/>
      <c r="C177" s="5"/>
      <c r="D177" s="5"/>
      <c r="E177" s="5"/>
      <c r="F177" s="5"/>
      <c r="G177" s="5"/>
      <c r="H177" s="5"/>
      <c r="I177" s="5"/>
      <c r="J177" s="5"/>
      <c r="K177" s="5"/>
      <c r="L177" s="5"/>
      <c r="M177" s="5"/>
    </row>
    <row r="178">
      <c r="A178" s="108"/>
      <c r="B178" s="108"/>
      <c r="C178" s="5"/>
      <c r="D178" s="5"/>
      <c r="E178" s="5"/>
      <c r="F178" s="5"/>
      <c r="G178" s="5"/>
      <c r="H178" s="5"/>
      <c r="I178" s="5"/>
      <c r="J178" s="5"/>
      <c r="K178" s="5"/>
      <c r="L178" s="5"/>
      <c r="M178" s="5"/>
    </row>
    <row r="179">
      <c r="A179" s="108"/>
      <c r="B179" s="108"/>
      <c r="C179" s="5"/>
      <c r="D179" s="5"/>
      <c r="E179" s="5"/>
      <c r="F179" s="5"/>
      <c r="G179" s="5"/>
      <c r="H179" s="5"/>
      <c r="I179" s="5"/>
      <c r="J179" s="5"/>
      <c r="K179" s="5"/>
      <c r="L179" s="5"/>
      <c r="M179" s="5"/>
    </row>
    <row r="180">
      <c r="A180" s="108"/>
      <c r="B180" s="108"/>
      <c r="C180" s="5"/>
      <c r="D180" s="5"/>
      <c r="E180" s="5"/>
      <c r="F180" s="5"/>
      <c r="G180" s="5"/>
      <c r="H180" s="5"/>
      <c r="I180" s="5"/>
      <c r="J180" s="5"/>
      <c r="K180" s="5"/>
      <c r="L180" s="5"/>
      <c r="M180" s="5"/>
    </row>
    <row r="181">
      <c r="A181" s="108"/>
      <c r="B181" s="108"/>
      <c r="C181" s="5"/>
      <c r="D181" s="5"/>
      <c r="E181" s="5"/>
      <c r="F181" s="5"/>
      <c r="G181" s="5"/>
      <c r="H181" s="5"/>
      <c r="I181" s="5"/>
      <c r="J181" s="5"/>
      <c r="K181" s="5"/>
      <c r="L181" s="5"/>
      <c r="M181" s="5"/>
    </row>
    <row r="182">
      <c r="A182" s="108"/>
      <c r="B182" s="108"/>
      <c r="C182" s="5"/>
      <c r="D182" s="5"/>
      <c r="E182" s="5"/>
      <c r="F182" s="5"/>
      <c r="G182" s="5"/>
      <c r="H182" s="5"/>
      <c r="I182" s="5"/>
      <c r="J182" s="5"/>
      <c r="K182" s="5"/>
      <c r="L182" s="5"/>
      <c r="M182" s="5"/>
    </row>
    <row r="183">
      <c r="A183" s="108"/>
      <c r="B183" s="108"/>
      <c r="C183" s="5"/>
      <c r="D183" s="5"/>
      <c r="E183" s="5"/>
      <c r="F183" s="5"/>
      <c r="G183" s="5"/>
      <c r="H183" s="5"/>
      <c r="I183" s="5"/>
      <c r="J183" s="5"/>
      <c r="K183" s="5"/>
      <c r="L183" s="5"/>
      <c r="M183" s="5"/>
    </row>
    <row r="184">
      <c r="A184" s="108"/>
      <c r="B184" s="108"/>
      <c r="C184" s="5"/>
      <c r="D184" s="5"/>
      <c r="E184" s="5"/>
      <c r="F184" s="5"/>
      <c r="G184" s="5"/>
      <c r="H184" s="5"/>
      <c r="I184" s="5"/>
      <c r="J184" s="5"/>
      <c r="K184" s="5"/>
      <c r="L184" s="5"/>
      <c r="M184" s="5"/>
    </row>
    <row r="185">
      <c r="A185" s="108"/>
      <c r="B185" s="108"/>
      <c r="C185" s="5"/>
      <c r="D185" s="5"/>
      <c r="E185" s="5"/>
      <c r="F185" s="5"/>
      <c r="G185" s="5"/>
      <c r="H185" s="5"/>
      <c r="I185" s="5"/>
      <c r="J185" s="5"/>
      <c r="K185" s="5"/>
      <c r="L185" s="5"/>
      <c r="M185" s="5"/>
    </row>
    <row r="186">
      <c r="A186" s="108"/>
      <c r="B186" s="108"/>
      <c r="C186" s="5"/>
      <c r="D186" s="5"/>
      <c r="E186" s="5"/>
      <c r="F186" s="5"/>
      <c r="G186" s="5"/>
      <c r="H186" s="5"/>
      <c r="I186" s="5"/>
      <c r="J186" s="5"/>
      <c r="K186" s="5"/>
      <c r="L186" s="5"/>
      <c r="M186" s="5"/>
    </row>
    <row r="187">
      <c r="A187" s="108"/>
      <c r="B187" s="108"/>
      <c r="C187" s="5"/>
      <c r="D187" s="5"/>
      <c r="E187" s="5"/>
      <c r="F187" s="5"/>
      <c r="G187" s="5"/>
      <c r="H187" s="5"/>
      <c r="I187" s="5"/>
      <c r="J187" s="5"/>
      <c r="K187" s="5"/>
      <c r="L187" s="5"/>
      <c r="M187" s="5"/>
    </row>
    <row r="188">
      <c r="A188" s="108"/>
      <c r="B188" s="108"/>
      <c r="C188" s="5"/>
      <c r="D188" s="5"/>
      <c r="E188" s="5"/>
      <c r="F188" s="5"/>
      <c r="G188" s="5"/>
      <c r="H188" s="5"/>
      <c r="I188" s="5"/>
      <c r="J188" s="5"/>
      <c r="K188" s="5"/>
      <c r="L188" s="5"/>
      <c r="M188" s="5"/>
    </row>
    <row r="189">
      <c r="A189" s="108"/>
      <c r="B189" s="108"/>
      <c r="C189" s="5"/>
      <c r="D189" s="5"/>
      <c r="E189" s="5"/>
      <c r="F189" s="5"/>
      <c r="G189" s="5"/>
      <c r="H189" s="5"/>
      <c r="I189" s="5"/>
      <c r="J189" s="5"/>
      <c r="K189" s="5"/>
      <c r="L189" s="5"/>
      <c r="M189" s="5"/>
    </row>
    <row r="190">
      <c r="A190" s="108"/>
      <c r="B190" s="108"/>
      <c r="C190" s="5"/>
      <c r="D190" s="5"/>
      <c r="E190" s="5"/>
      <c r="F190" s="5"/>
      <c r="G190" s="5"/>
      <c r="H190" s="5"/>
      <c r="I190" s="5"/>
      <c r="J190" s="5"/>
      <c r="K190" s="5"/>
      <c r="L190" s="5"/>
      <c r="M190" s="5"/>
    </row>
    <row r="191">
      <c r="A191" s="108"/>
      <c r="B191" s="108"/>
      <c r="C191" s="5"/>
      <c r="D191" s="5"/>
      <c r="E191" s="5"/>
      <c r="F191" s="5"/>
      <c r="G191" s="5"/>
      <c r="H191" s="5"/>
      <c r="I191" s="5"/>
      <c r="J191" s="5"/>
      <c r="K191" s="5"/>
      <c r="L191" s="5"/>
      <c r="M191" s="5"/>
    </row>
    <row r="192">
      <c r="A192" s="108"/>
      <c r="B192" s="108"/>
      <c r="C192" s="5"/>
      <c r="D192" s="5"/>
      <c r="E192" s="5"/>
      <c r="F192" s="5"/>
      <c r="G192" s="5"/>
      <c r="H192" s="5"/>
      <c r="I192" s="5"/>
      <c r="J192" s="5"/>
      <c r="K192" s="5"/>
      <c r="L192" s="5"/>
      <c r="M192" s="5"/>
    </row>
    <row r="193">
      <c r="A193" s="108"/>
      <c r="B193" s="108"/>
      <c r="C193" s="5"/>
      <c r="D193" s="5"/>
      <c r="E193" s="5"/>
      <c r="F193" s="5"/>
      <c r="G193" s="5"/>
      <c r="H193" s="5"/>
      <c r="I193" s="5"/>
      <c r="J193" s="5"/>
      <c r="K193" s="5"/>
      <c r="L193" s="5"/>
      <c r="M193" s="5"/>
    </row>
    <row r="194">
      <c r="A194" s="108"/>
      <c r="B194" s="108"/>
      <c r="C194" s="5"/>
      <c r="D194" s="5"/>
      <c r="E194" s="5"/>
      <c r="F194" s="5"/>
      <c r="G194" s="5"/>
      <c r="H194" s="5"/>
      <c r="I194" s="5"/>
      <c r="J194" s="5"/>
      <c r="K194" s="5"/>
      <c r="L194" s="5"/>
      <c r="M194" s="5"/>
    </row>
    <row r="195">
      <c r="A195" s="108"/>
      <c r="B195" s="108"/>
      <c r="C195" s="5"/>
      <c r="D195" s="5"/>
      <c r="E195" s="5"/>
      <c r="F195" s="5"/>
      <c r="G195" s="5"/>
      <c r="H195" s="5"/>
      <c r="I195" s="5"/>
      <c r="J195" s="5"/>
      <c r="K195" s="5"/>
      <c r="L195" s="5"/>
      <c r="M195" s="5"/>
    </row>
    <row r="196">
      <c r="A196" s="108"/>
      <c r="B196" s="108"/>
      <c r="C196" s="5"/>
      <c r="D196" s="5"/>
      <c r="E196" s="5"/>
      <c r="F196" s="5"/>
      <c r="G196" s="5"/>
      <c r="H196" s="5"/>
      <c r="I196" s="5"/>
      <c r="J196" s="5"/>
      <c r="K196" s="5"/>
      <c r="L196" s="5"/>
      <c r="M196" s="5"/>
    </row>
    <row r="197">
      <c r="A197" s="108"/>
      <c r="B197" s="108"/>
      <c r="C197" s="5"/>
      <c r="D197" s="5"/>
      <c r="E197" s="5"/>
      <c r="F197" s="5"/>
      <c r="G197" s="5"/>
      <c r="H197" s="5"/>
      <c r="I197" s="5"/>
      <c r="J197" s="5"/>
      <c r="K197" s="5"/>
      <c r="L197" s="5"/>
      <c r="M197" s="5"/>
    </row>
    <row r="198">
      <c r="A198" s="108"/>
      <c r="B198" s="108"/>
      <c r="C198" s="5"/>
      <c r="D198" s="5"/>
      <c r="E198" s="5"/>
      <c r="F198" s="5"/>
      <c r="G198" s="5"/>
      <c r="H198" s="5"/>
      <c r="I198" s="5"/>
      <c r="J198" s="5"/>
      <c r="K198" s="5"/>
      <c r="L198" s="5"/>
      <c r="M198" s="5"/>
    </row>
    <row r="199">
      <c r="A199" s="108"/>
      <c r="B199" s="108"/>
      <c r="C199" s="5"/>
      <c r="D199" s="5"/>
      <c r="E199" s="5"/>
      <c r="F199" s="5"/>
      <c r="G199" s="5"/>
      <c r="H199" s="5"/>
      <c r="I199" s="5"/>
      <c r="J199" s="5"/>
      <c r="K199" s="5"/>
      <c r="L199" s="5"/>
      <c r="M199" s="5"/>
    </row>
    <row r="200">
      <c r="A200" s="108"/>
      <c r="B200" s="108"/>
      <c r="C200" s="5"/>
      <c r="D200" s="5"/>
      <c r="E200" s="5"/>
      <c r="F200" s="5"/>
      <c r="G200" s="5"/>
      <c r="H200" s="5"/>
      <c r="I200" s="5"/>
      <c r="J200" s="5"/>
      <c r="K200" s="5"/>
      <c r="L200" s="5"/>
      <c r="M200" s="5"/>
    </row>
    <row r="201">
      <c r="A201" s="108"/>
      <c r="B201" s="108"/>
      <c r="C201" s="5"/>
      <c r="D201" s="5"/>
      <c r="E201" s="5"/>
      <c r="F201" s="5"/>
      <c r="G201" s="5"/>
      <c r="H201" s="5"/>
      <c r="I201" s="5"/>
      <c r="J201" s="5"/>
      <c r="K201" s="5"/>
      <c r="L201" s="5"/>
      <c r="M201" s="5"/>
    </row>
    <row r="202">
      <c r="A202" s="108"/>
      <c r="B202" s="108"/>
      <c r="C202" s="5"/>
      <c r="D202" s="5"/>
      <c r="E202" s="5"/>
      <c r="F202" s="5"/>
      <c r="G202" s="5"/>
      <c r="H202" s="5"/>
      <c r="I202" s="5"/>
      <c r="J202" s="5"/>
      <c r="K202" s="5"/>
      <c r="L202" s="5"/>
      <c r="M202" s="5"/>
    </row>
    <row r="203">
      <c r="A203" s="108"/>
      <c r="B203" s="108"/>
      <c r="C203" s="5"/>
      <c r="D203" s="5"/>
      <c r="E203" s="5"/>
      <c r="F203" s="5"/>
      <c r="G203" s="5"/>
      <c r="H203" s="5"/>
      <c r="I203" s="5"/>
      <c r="J203" s="5"/>
      <c r="K203" s="5"/>
      <c r="L203" s="5"/>
      <c r="M203" s="5"/>
    </row>
    <row r="204">
      <c r="A204" s="108"/>
      <c r="B204" s="108"/>
      <c r="C204" s="5"/>
      <c r="D204" s="5"/>
      <c r="E204" s="5"/>
      <c r="F204" s="5"/>
      <c r="G204" s="5"/>
      <c r="H204" s="5"/>
      <c r="I204" s="5"/>
      <c r="J204" s="5"/>
      <c r="K204" s="5"/>
      <c r="L204" s="5"/>
      <c r="M204" s="5"/>
    </row>
    <row r="205">
      <c r="A205" s="108"/>
      <c r="B205" s="108"/>
      <c r="C205" s="5"/>
      <c r="D205" s="5"/>
      <c r="E205" s="5"/>
      <c r="F205" s="5"/>
      <c r="G205" s="5"/>
      <c r="H205" s="5"/>
      <c r="I205" s="5"/>
      <c r="J205" s="5"/>
      <c r="K205" s="5"/>
      <c r="L205" s="5"/>
      <c r="M205" s="5"/>
    </row>
    <row r="206">
      <c r="A206" s="108"/>
      <c r="B206" s="108"/>
      <c r="C206" s="5"/>
      <c r="D206" s="5"/>
      <c r="E206" s="5"/>
      <c r="F206" s="5"/>
      <c r="G206" s="5"/>
      <c r="H206" s="5"/>
      <c r="I206" s="5"/>
      <c r="J206" s="5"/>
      <c r="K206" s="5"/>
      <c r="L206" s="5"/>
      <c r="M206" s="5"/>
    </row>
    <row r="207">
      <c r="A207" s="108"/>
      <c r="B207" s="108"/>
      <c r="C207" s="5"/>
      <c r="D207" s="5"/>
      <c r="E207" s="5"/>
      <c r="F207" s="5"/>
      <c r="G207" s="5"/>
      <c r="H207" s="5"/>
      <c r="I207" s="5"/>
      <c r="J207" s="5"/>
      <c r="K207" s="5"/>
      <c r="L207" s="5"/>
      <c r="M207" s="5"/>
    </row>
    <row r="208">
      <c r="A208" s="108"/>
      <c r="B208" s="108"/>
      <c r="C208" s="5"/>
      <c r="D208" s="5"/>
      <c r="E208" s="5"/>
      <c r="F208" s="5"/>
      <c r="G208" s="5"/>
      <c r="H208" s="5"/>
      <c r="I208" s="5"/>
      <c r="J208" s="5"/>
      <c r="K208" s="5"/>
      <c r="L208" s="5"/>
      <c r="M208" s="5"/>
    </row>
    <row r="209">
      <c r="A209" s="108"/>
      <c r="B209" s="108"/>
      <c r="C209" s="5"/>
      <c r="D209" s="5"/>
      <c r="E209" s="5"/>
      <c r="F209" s="5"/>
      <c r="G209" s="5"/>
      <c r="H209" s="5"/>
      <c r="I209" s="5"/>
      <c r="J209" s="5"/>
      <c r="K209" s="5"/>
      <c r="L209" s="5"/>
      <c r="M209" s="5"/>
    </row>
    <row r="210">
      <c r="A210" s="108"/>
      <c r="B210" s="108"/>
      <c r="C210" s="5"/>
      <c r="D210" s="5"/>
      <c r="E210" s="5"/>
      <c r="F210" s="5"/>
      <c r="G210" s="5"/>
      <c r="H210" s="5"/>
      <c r="I210" s="5"/>
      <c r="J210" s="5"/>
      <c r="K210" s="5"/>
      <c r="L210" s="5"/>
      <c r="M210" s="5"/>
    </row>
    <row r="211">
      <c r="A211" s="108"/>
      <c r="B211" s="108"/>
      <c r="C211" s="5"/>
      <c r="D211" s="5"/>
      <c r="E211" s="5"/>
      <c r="F211" s="5"/>
      <c r="G211" s="5"/>
      <c r="H211" s="5"/>
      <c r="I211" s="5"/>
      <c r="J211" s="5"/>
      <c r="K211" s="5"/>
      <c r="L211" s="5"/>
      <c r="M211" s="5"/>
    </row>
    <row r="212">
      <c r="A212" s="108"/>
      <c r="B212" s="108"/>
      <c r="C212" s="5"/>
      <c r="D212" s="5"/>
      <c r="E212" s="5"/>
      <c r="F212" s="5"/>
      <c r="G212" s="5"/>
      <c r="H212" s="5"/>
      <c r="I212" s="5"/>
      <c r="J212" s="5"/>
      <c r="K212" s="5"/>
      <c r="L212" s="5"/>
      <c r="M212" s="5"/>
    </row>
    <row r="213">
      <c r="A213" s="108"/>
      <c r="B213" s="108"/>
      <c r="C213" s="5"/>
      <c r="D213" s="5"/>
      <c r="E213" s="5"/>
      <c r="F213" s="5"/>
      <c r="G213" s="5"/>
      <c r="H213" s="5"/>
      <c r="I213" s="5"/>
      <c r="J213" s="5"/>
      <c r="K213" s="5"/>
      <c r="L213" s="5"/>
      <c r="M213" s="5"/>
    </row>
    <row r="214">
      <c r="A214" s="108"/>
      <c r="B214" s="108"/>
      <c r="C214" s="5"/>
      <c r="D214" s="5"/>
      <c r="E214" s="5"/>
      <c r="F214" s="5"/>
      <c r="G214" s="5"/>
      <c r="H214" s="5"/>
      <c r="I214" s="5"/>
      <c r="J214" s="5"/>
      <c r="K214" s="5"/>
      <c r="L214" s="5"/>
      <c r="M214" s="5"/>
    </row>
    <row r="215">
      <c r="A215" s="108"/>
      <c r="B215" s="108"/>
      <c r="C215" s="5"/>
      <c r="D215" s="5"/>
      <c r="E215" s="5"/>
      <c r="F215" s="5"/>
      <c r="G215" s="5"/>
      <c r="H215" s="5"/>
      <c r="I215" s="5"/>
      <c r="J215" s="5"/>
      <c r="K215" s="5"/>
      <c r="L215" s="5"/>
      <c r="M215" s="5"/>
    </row>
    <row r="216">
      <c r="A216" s="108"/>
      <c r="B216" s="108"/>
      <c r="C216" s="5"/>
      <c r="D216" s="5"/>
      <c r="E216" s="5"/>
      <c r="F216" s="5"/>
      <c r="G216" s="5"/>
      <c r="H216" s="5"/>
      <c r="I216" s="5"/>
      <c r="J216" s="5"/>
      <c r="K216" s="5"/>
      <c r="L216" s="5"/>
      <c r="M216" s="5"/>
    </row>
    <row r="217">
      <c r="A217" s="108"/>
      <c r="B217" s="108"/>
      <c r="C217" s="5"/>
      <c r="D217" s="5"/>
      <c r="E217" s="5"/>
      <c r="F217" s="5"/>
      <c r="G217" s="5"/>
      <c r="H217" s="5"/>
      <c r="I217" s="5"/>
      <c r="J217" s="5"/>
      <c r="K217" s="5"/>
      <c r="L217" s="5"/>
      <c r="M217" s="5"/>
    </row>
    <row r="218">
      <c r="A218" s="108"/>
      <c r="B218" s="108"/>
      <c r="C218" s="5"/>
      <c r="D218" s="5"/>
      <c r="E218" s="5"/>
      <c r="F218" s="5"/>
      <c r="G218" s="5"/>
      <c r="H218" s="5"/>
      <c r="I218" s="5"/>
      <c r="J218" s="5"/>
      <c r="K218" s="5"/>
      <c r="L218" s="5"/>
      <c r="M218" s="5"/>
    </row>
    <row r="219">
      <c r="A219" s="108"/>
      <c r="B219" s="108"/>
      <c r="C219" s="5"/>
      <c r="D219" s="5"/>
      <c r="E219" s="5"/>
      <c r="F219" s="5"/>
      <c r="G219" s="5"/>
      <c r="H219" s="5"/>
      <c r="I219" s="5"/>
      <c r="J219" s="5"/>
      <c r="K219" s="5"/>
      <c r="L219" s="5"/>
      <c r="M219" s="5"/>
    </row>
    <row r="220">
      <c r="A220" s="108"/>
      <c r="B220" s="108"/>
      <c r="C220" s="5"/>
      <c r="D220" s="5"/>
      <c r="E220" s="5"/>
      <c r="F220" s="5"/>
      <c r="G220" s="5"/>
      <c r="H220" s="5"/>
      <c r="I220" s="5"/>
      <c r="J220" s="5"/>
      <c r="K220" s="5"/>
      <c r="L220" s="5"/>
      <c r="M220" s="5"/>
    </row>
    <row r="221">
      <c r="A221" s="108"/>
      <c r="B221" s="108"/>
      <c r="C221" s="5"/>
      <c r="D221" s="5"/>
      <c r="E221" s="5"/>
      <c r="F221" s="5"/>
      <c r="G221" s="5"/>
      <c r="H221" s="5"/>
      <c r="I221" s="5"/>
      <c r="J221" s="5"/>
      <c r="K221" s="5"/>
      <c r="L221" s="5"/>
      <c r="M221" s="5"/>
    </row>
    <row r="222">
      <c r="A222" s="108"/>
      <c r="B222" s="108"/>
      <c r="C222" s="5"/>
      <c r="D222" s="5"/>
      <c r="E222" s="5"/>
      <c r="F222" s="5"/>
      <c r="G222" s="5"/>
      <c r="H222" s="5"/>
      <c r="I222" s="5"/>
      <c r="J222" s="5"/>
      <c r="K222" s="5"/>
      <c r="L222" s="5"/>
      <c r="M222" s="5"/>
    </row>
    <row r="223">
      <c r="A223" s="108"/>
      <c r="B223" s="108"/>
      <c r="C223" s="5"/>
      <c r="D223" s="5"/>
      <c r="E223" s="5"/>
      <c r="F223" s="5"/>
      <c r="G223" s="5"/>
      <c r="H223" s="5"/>
      <c r="I223" s="5"/>
      <c r="J223" s="5"/>
      <c r="K223" s="5"/>
      <c r="L223" s="5"/>
      <c r="M223" s="5"/>
    </row>
    <row r="224">
      <c r="A224" s="108"/>
      <c r="B224" s="108"/>
      <c r="C224" s="5"/>
      <c r="D224" s="5"/>
      <c r="E224" s="5"/>
      <c r="F224" s="5"/>
      <c r="G224" s="5"/>
      <c r="H224" s="5"/>
      <c r="I224" s="5"/>
      <c r="J224" s="5"/>
      <c r="K224" s="5"/>
      <c r="L224" s="5"/>
      <c r="M224" s="5"/>
    </row>
    <row r="225">
      <c r="A225" s="108"/>
      <c r="B225" s="108"/>
      <c r="C225" s="5"/>
      <c r="D225" s="5"/>
      <c r="E225" s="5"/>
      <c r="F225" s="5"/>
      <c r="G225" s="5"/>
      <c r="H225" s="5"/>
      <c r="I225" s="5"/>
      <c r="J225" s="5"/>
      <c r="K225" s="5"/>
      <c r="L225" s="5"/>
      <c r="M225" s="5"/>
    </row>
    <row r="226">
      <c r="A226" s="108"/>
      <c r="B226" s="108"/>
      <c r="C226" s="5"/>
      <c r="D226" s="5"/>
      <c r="E226" s="5"/>
      <c r="F226" s="5"/>
      <c r="G226" s="5"/>
      <c r="H226" s="5"/>
      <c r="I226" s="5"/>
      <c r="J226" s="5"/>
      <c r="K226" s="5"/>
      <c r="L226" s="5"/>
      <c r="M226" s="5"/>
    </row>
    <row r="227">
      <c r="A227" s="108"/>
      <c r="B227" s="108"/>
      <c r="C227" s="5"/>
      <c r="D227" s="5"/>
      <c r="E227" s="5"/>
      <c r="F227" s="5"/>
      <c r="G227" s="5"/>
      <c r="H227" s="5"/>
      <c r="I227" s="5"/>
      <c r="J227" s="5"/>
      <c r="K227" s="5"/>
      <c r="L227" s="5"/>
      <c r="M227" s="5"/>
    </row>
    <row r="228">
      <c r="A228" s="108"/>
      <c r="B228" s="108"/>
      <c r="C228" s="5"/>
      <c r="D228" s="5"/>
      <c r="E228" s="5"/>
      <c r="F228" s="5"/>
      <c r="G228" s="5"/>
      <c r="H228" s="5"/>
      <c r="I228" s="5"/>
      <c r="J228" s="5"/>
      <c r="K228" s="5"/>
      <c r="L228" s="5"/>
      <c r="M228" s="5"/>
    </row>
    <row r="229">
      <c r="A229" s="108"/>
      <c r="B229" s="108"/>
      <c r="C229" s="5"/>
      <c r="D229" s="5"/>
      <c r="E229" s="5"/>
      <c r="F229" s="5"/>
      <c r="G229" s="5"/>
      <c r="H229" s="5"/>
      <c r="I229" s="5"/>
      <c r="J229" s="5"/>
      <c r="K229" s="5"/>
      <c r="L229" s="5"/>
      <c r="M229" s="5"/>
    </row>
    <row r="230">
      <c r="A230" s="108"/>
      <c r="B230" s="108"/>
      <c r="C230" s="5"/>
      <c r="D230" s="5"/>
      <c r="E230" s="5"/>
      <c r="F230" s="5"/>
      <c r="G230" s="5"/>
      <c r="H230" s="5"/>
      <c r="I230" s="5"/>
      <c r="J230" s="5"/>
      <c r="K230" s="5"/>
      <c r="L230" s="5"/>
      <c r="M230" s="5"/>
    </row>
    <row r="231">
      <c r="A231" s="108"/>
      <c r="B231" s="108"/>
      <c r="C231" s="5"/>
      <c r="D231" s="5"/>
      <c r="E231" s="5"/>
      <c r="F231" s="5"/>
      <c r="G231" s="5"/>
      <c r="H231" s="5"/>
      <c r="I231" s="5"/>
      <c r="J231" s="5"/>
      <c r="K231" s="5"/>
      <c r="L231" s="5"/>
      <c r="M231" s="5"/>
    </row>
    <row r="232">
      <c r="A232" s="108"/>
      <c r="B232" s="108"/>
      <c r="C232" s="5"/>
      <c r="D232" s="5"/>
      <c r="E232" s="5"/>
      <c r="F232" s="5"/>
      <c r="G232" s="5"/>
      <c r="H232" s="5"/>
      <c r="I232" s="5"/>
      <c r="J232" s="5"/>
      <c r="K232" s="5"/>
      <c r="L232" s="5"/>
      <c r="M232" s="5"/>
    </row>
    <row r="233">
      <c r="A233" s="108"/>
      <c r="B233" s="108"/>
      <c r="C233" s="5"/>
      <c r="D233" s="5"/>
      <c r="E233" s="5"/>
      <c r="F233" s="5"/>
      <c r="G233" s="5"/>
      <c r="H233" s="5"/>
      <c r="I233" s="5"/>
      <c r="J233" s="5"/>
      <c r="K233" s="5"/>
      <c r="L233" s="5"/>
      <c r="M233" s="5"/>
    </row>
    <row r="234">
      <c r="A234" s="108"/>
      <c r="B234" s="108"/>
      <c r="C234" s="5"/>
      <c r="D234" s="5"/>
      <c r="E234" s="5"/>
      <c r="F234" s="5"/>
      <c r="G234" s="5"/>
      <c r="H234" s="5"/>
      <c r="I234" s="5"/>
      <c r="J234" s="5"/>
      <c r="K234" s="5"/>
      <c r="L234" s="5"/>
      <c r="M234" s="5"/>
    </row>
    <row r="235">
      <c r="A235" s="108"/>
      <c r="B235" s="108"/>
      <c r="C235" s="5"/>
      <c r="D235" s="5"/>
      <c r="E235" s="5"/>
      <c r="F235" s="5"/>
      <c r="G235" s="5"/>
      <c r="H235" s="5"/>
      <c r="I235" s="5"/>
      <c r="J235" s="5"/>
      <c r="K235" s="5"/>
      <c r="L235" s="5"/>
      <c r="M235" s="5"/>
    </row>
    <row r="236">
      <c r="A236" s="108"/>
      <c r="B236" s="108"/>
      <c r="C236" s="5"/>
      <c r="D236" s="5"/>
      <c r="E236" s="5"/>
      <c r="F236" s="5"/>
      <c r="G236" s="5"/>
      <c r="H236" s="5"/>
      <c r="I236" s="5"/>
      <c r="J236" s="5"/>
      <c r="K236" s="5"/>
      <c r="L236" s="5"/>
      <c r="M236" s="5"/>
    </row>
    <row r="237">
      <c r="A237" s="108"/>
      <c r="B237" s="108"/>
      <c r="C237" s="5"/>
      <c r="D237" s="5"/>
      <c r="E237" s="5"/>
      <c r="F237" s="5"/>
      <c r="G237" s="5"/>
      <c r="H237" s="5"/>
      <c r="I237" s="5"/>
      <c r="J237" s="5"/>
      <c r="K237" s="5"/>
      <c r="L237" s="5"/>
      <c r="M237" s="5"/>
    </row>
    <row r="238">
      <c r="A238" s="108"/>
      <c r="B238" s="108"/>
      <c r="C238" s="5"/>
      <c r="D238" s="5"/>
      <c r="E238" s="5"/>
      <c r="F238" s="5"/>
      <c r="G238" s="5"/>
      <c r="H238" s="5"/>
      <c r="I238" s="5"/>
      <c r="J238" s="5"/>
      <c r="K238" s="5"/>
      <c r="L238" s="5"/>
      <c r="M238" s="5"/>
    </row>
    <row r="239">
      <c r="A239" s="108"/>
      <c r="B239" s="108"/>
      <c r="C239" s="5"/>
      <c r="D239" s="5"/>
      <c r="E239" s="5"/>
      <c r="F239" s="5"/>
      <c r="G239" s="5"/>
      <c r="H239" s="5"/>
      <c r="I239" s="5"/>
      <c r="J239" s="5"/>
      <c r="K239" s="5"/>
      <c r="L239" s="5"/>
      <c r="M239" s="5"/>
    </row>
    <row r="240">
      <c r="A240" s="108"/>
      <c r="B240" s="108"/>
      <c r="C240" s="5"/>
      <c r="D240" s="5"/>
      <c r="E240" s="5"/>
      <c r="F240" s="5"/>
      <c r="G240" s="5"/>
      <c r="H240" s="5"/>
      <c r="I240" s="5"/>
      <c r="J240" s="5"/>
      <c r="K240" s="5"/>
      <c r="L240" s="5"/>
      <c r="M240" s="5"/>
    </row>
    <row r="241">
      <c r="A241" s="108"/>
      <c r="B241" s="108"/>
      <c r="C241" s="5"/>
      <c r="D241" s="5"/>
      <c r="E241" s="5"/>
      <c r="F241" s="5"/>
      <c r="G241" s="5"/>
      <c r="H241" s="5"/>
      <c r="I241" s="5"/>
      <c r="J241" s="5"/>
      <c r="K241" s="5"/>
      <c r="L241" s="5"/>
      <c r="M241" s="5"/>
    </row>
    <row r="242">
      <c r="A242" s="108"/>
      <c r="B242" s="108"/>
      <c r="C242" s="5"/>
      <c r="D242" s="5"/>
      <c r="E242" s="5"/>
      <c r="F242" s="5"/>
      <c r="G242" s="5"/>
      <c r="H242" s="5"/>
      <c r="I242" s="5"/>
      <c r="J242" s="5"/>
      <c r="K242" s="5"/>
      <c r="L242" s="5"/>
      <c r="M242" s="5"/>
    </row>
    <row r="243">
      <c r="A243" s="108"/>
      <c r="B243" s="108"/>
      <c r="C243" s="5"/>
      <c r="D243" s="5"/>
      <c r="E243" s="5"/>
      <c r="F243" s="5"/>
      <c r="G243" s="5"/>
      <c r="H243" s="5"/>
      <c r="I243" s="5"/>
      <c r="J243" s="5"/>
      <c r="K243" s="5"/>
      <c r="L243" s="5"/>
      <c r="M243" s="5"/>
    </row>
    <row r="244">
      <c r="A244" s="108"/>
      <c r="B244" s="108"/>
      <c r="C244" s="5"/>
      <c r="D244" s="5"/>
      <c r="E244" s="5"/>
      <c r="F244" s="5"/>
      <c r="G244" s="5"/>
      <c r="H244" s="5"/>
      <c r="I244" s="5"/>
      <c r="J244" s="5"/>
      <c r="K244" s="5"/>
      <c r="L244" s="5"/>
      <c r="M244" s="5"/>
    </row>
    <row r="245">
      <c r="A245" s="108"/>
      <c r="B245" s="108"/>
      <c r="C245" s="5"/>
      <c r="D245" s="5"/>
      <c r="E245" s="5"/>
      <c r="F245" s="5"/>
      <c r="G245" s="5"/>
      <c r="H245" s="5"/>
      <c r="I245" s="5"/>
      <c r="J245" s="5"/>
      <c r="K245" s="5"/>
      <c r="L245" s="5"/>
      <c r="M245" s="5"/>
    </row>
    <row r="246">
      <c r="A246" s="108"/>
      <c r="B246" s="108"/>
      <c r="C246" s="5"/>
      <c r="D246" s="5"/>
      <c r="E246" s="5"/>
      <c r="F246" s="5"/>
      <c r="G246" s="5"/>
      <c r="H246" s="5"/>
      <c r="I246" s="5"/>
      <c r="J246" s="5"/>
      <c r="K246" s="5"/>
      <c r="L246" s="5"/>
      <c r="M246" s="5"/>
    </row>
    <row r="247">
      <c r="A247" s="108"/>
      <c r="B247" s="108"/>
      <c r="C247" s="5"/>
      <c r="D247" s="5"/>
      <c r="E247" s="5"/>
      <c r="F247" s="5"/>
      <c r="G247" s="5"/>
      <c r="H247" s="5"/>
      <c r="I247" s="5"/>
      <c r="J247" s="5"/>
      <c r="K247" s="5"/>
      <c r="L247" s="5"/>
      <c r="M247" s="5"/>
    </row>
    <row r="248">
      <c r="A248" s="108"/>
      <c r="B248" s="108"/>
      <c r="C248" s="5"/>
      <c r="D248" s="5"/>
      <c r="E248" s="5"/>
      <c r="F248" s="5"/>
      <c r="G248" s="5"/>
      <c r="H248" s="5"/>
      <c r="I248" s="5"/>
      <c r="J248" s="5"/>
      <c r="K248" s="5"/>
      <c r="L248" s="5"/>
      <c r="M248" s="5"/>
    </row>
    <row r="249">
      <c r="A249" s="108"/>
      <c r="B249" s="108"/>
      <c r="C249" s="5"/>
      <c r="D249" s="5"/>
      <c r="E249" s="5"/>
      <c r="F249" s="5"/>
      <c r="G249" s="5"/>
      <c r="H249" s="5"/>
      <c r="I249" s="5"/>
      <c r="J249" s="5"/>
      <c r="K249" s="5"/>
      <c r="L249" s="5"/>
      <c r="M249" s="5"/>
    </row>
    <row r="250">
      <c r="A250" s="108"/>
      <c r="B250" s="108"/>
      <c r="C250" s="5"/>
      <c r="D250" s="5"/>
      <c r="E250" s="5"/>
      <c r="F250" s="5"/>
      <c r="G250" s="5"/>
      <c r="H250" s="5"/>
      <c r="I250" s="5"/>
      <c r="J250" s="5"/>
      <c r="K250" s="5"/>
      <c r="L250" s="5"/>
      <c r="M250" s="5"/>
    </row>
    <row r="251">
      <c r="A251" s="108"/>
      <c r="B251" s="108"/>
      <c r="C251" s="5"/>
      <c r="D251" s="5"/>
      <c r="E251" s="5"/>
      <c r="F251" s="5"/>
      <c r="G251" s="5"/>
      <c r="H251" s="5"/>
      <c r="I251" s="5"/>
      <c r="J251" s="5"/>
      <c r="K251" s="5"/>
      <c r="L251" s="5"/>
      <c r="M251" s="5"/>
    </row>
    <row r="252">
      <c r="A252" s="108"/>
      <c r="B252" s="108"/>
      <c r="C252" s="5"/>
      <c r="D252" s="5"/>
      <c r="E252" s="5"/>
      <c r="F252" s="5"/>
      <c r="G252" s="5"/>
      <c r="H252" s="5"/>
      <c r="I252" s="5"/>
      <c r="J252" s="5"/>
      <c r="K252" s="5"/>
      <c r="L252" s="5"/>
      <c r="M252" s="5"/>
    </row>
    <row r="253">
      <c r="A253" s="108"/>
      <c r="B253" s="108"/>
      <c r="C253" s="5"/>
      <c r="D253" s="5"/>
      <c r="E253" s="5"/>
      <c r="F253" s="5"/>
      <c r="G253" s="5"/>
      <c r="H253" s="5"/>
      <c r="I253" s="5"/>
      <c r="J253" s="5"/>
      <c r="K253" s="5"/>
      <c r="L253" s="5"/>
      <c r="M253" s="5"/>
    </row>
    <row r="254">
      <c r="A254" s="108"/>
      <c r="B254" s="108"/>
      <c r="C254" s="5"/>
      <c r="D254" s="5"/>
      <c r="E254" s="5"/>
      <c r="F254" s="5"/>
      <c r="G254" s="5"/>
      <c r="H254" s="5"/>
      <c r="I254" s="5"/>
      <c r="J254" s="5"/>
      <c r="K254" s="5"/>
      <c r="L254" s="5"/>
      <c r="M254" s="5"/>
    </row>
    <row r="255">
      <c r="A255" s="108"/>
      <c r="B255" s="108"/>
      <c r="C255" s="5"/>
      <c r="D255" s="5"/>
      <c r="E255" s="5"/>
      <c r="F255" s="5"/>
      <c r="G255" s="5"/>
      <c r="H255" s="5"/>
      <c r="I255" s="5"/>
      <c r="J255" s="5"/>
      <c r="K255" s="5"/>
      <c r="L255" s="5"/>
      <c r="M255" s="5"/>
    </row>
    <row r="256">
      <c r="A256" s="108"/>
      <c r="B256" s="108"/>
      <c r="C256" s="5"/>
      <c r="D256" s="5"/>
      <c r="E256" s="5"/>
      <c r="F256" s="5"/>
      <c r="G256" s="5"/>
      <c r="H256" s="5"/>
      <c r="I256" s="5"/>
      <c r="J256" s="5"/>
      <c r="K256" s="5"/>
      <c r="L256" s="5"/>
      <c r="M256" s="5"/>
    </row>
    <row r="257">
      <c r="A257" s="108"/>
      <c r="B257" s="108"/>
      <c r="C257" s="5"/>
      <c r="D257" s="5"/>
      <c r="E257" s="5"/>
      <c r="F257" s="5"/>
      <c r="G257" s="5"/>
      <c r="H257" s="5"/>
      <c r="I257" s="5"/>
      <c r="J257" s="5"/>
      <c r="K257" s="5"/>
      <c r="L257" s="5"/>
      <c r="M257" s="5"/>
    </row>
    <row r="258">
      <c r="A258" s="108"/>
      <c r="B258" s="108"/>
      <c r="C258" s="5"/>
      <c r="D258" s="5"/>
      <c r="E258" s="5"/>
      <c r="F258" s="5"/>
      <c r="G258" s="5"/>
      <c r="H258" s="5"/>
      <c r="I258" s="5"/>
      <c r="J258" s="5"/>
      <c r="K258" s="5"/>
      <c r="L258" s="5"/>
      <c r="M258" s="5"/>
    </row>
    <row r="259">
      <c r="A259" s="108"/>
      <c r="B259" s="108"/>
      <c r="C259" s="5"/>
      <c r="D259" s="5"/>
      <c r="E259" s="5"/>
      <c r="F259" s="5"/>
      <c r="G259" s="5"/>
      <c r="H259" s="5"/>
      <c r="I259" s="5"/>
      <c r="J259" s="5"/>
      <c r="K259" s="5"/>
      <c r="L259" s="5"/>
      <c r="M259" s="5"/>
    </row>
    <row r="260">
      <c r="A260" s="108"/>
      <c r="B260" s="108"/>
      <c r="C260" s="5"/>
      <c r="D260" s="5"/>
      <c r="E260" s="5"/>
      <c r="F260" s="5"/>
      <c r="G260" s="5"/>
      <c r="H260" s="5"/>
      <c r="I260" s="5"/>
      <c r="J260" s="5"/>
      <c r="K260" s="5"/>
      <c r="L260" s="5"/>
      <c r="M260" s="5"/>
    </row>
    <row r="261">
      <c r="A261" s="108"/>
      <c r="B261" s="108"/>
      <c r="C261" s="5"/>
      <c r="D261" s="5"/>
      <c r="E261" s="5"/>
      <c r="F261" s="5"/>
      <c r="G261" s="5"/>
      <c r="H261" s="5"/>
      <c r="I261" s="5"/>
      <c r="J261" s="5"/>
      <c r="K261" s="5"/>
      <c r="L261" s="5"/>
      <c r="M261" s="5"/>
    </row>
    <row r="262">
      <c r="A262" s="108"/>
      <c r="B262" s="108"/>
      <c r="C262" s="5"/>
      <c r="D262" s="5"/>
      <c r="E262" s="5"/>
      <c r="F262" s="5"/>
      <c r="G262" s="5"/>
      <c r="H262" s="5"/>
      <c r="I262" s="5"/>
      <c r="J262" s="5"/>
      <c r="K262" s="5"/>
      <c r="L262" s="5"/>
      <c r="M262" s="5"/>
    </row>
    <row r="263">
      <c r="A263" s="108"/>
      <c r="B263" s="108"/>
      <c r="C263" s="5"/>
      <c r="D263" s="5"/>
      <c r="E263" s="5"/>
      <c r="F263" s="5"/>
      <c r="G263" s="5"/>
      <c r="H263" s="5"/>
      <c r="I263" s="5"/>
      <c r="J263" s="5"/>
      <c r="K263" s="5"/>
      <c r="L263" s="5"/>
      <c r="M263" s="5"/>
    </row>
    <row r="264">
      <c r="A264" s="108"/>
      <c r="B264" s="108"/>
      <c r="C264" s="5"/>
      <c r="D264" s="5"/>
      <c r="E264" s="5"/>
      <c r="F264" s="5"/>
      <c r="G264" s="5"/>
      <c r="H264" s="5"/>
      <c r="I264" s="5"/>
      <c r="J264" s="5"/>
      <c r="K264" s="5"/>
      <c r="L264" s="5"/>
      <c r="M264" s="5"/>
    </row>
    <row r="265">
      <c r="A265" s="108"/>
      <c r="B265" s="108"/>
      <c r="C265" s="5"/>
      <c r="D265" s="5"/>
      <c r="E265" s="5"/>
      <c r="F265" s="5"/>
      <c r="G265" s="5"/>
      <c r="H265" s="5"/>
      <c r="I265" s="5"/>
      <c r="J265" s="5"/>
      <c r="K265" s="5"/>
      <c r="L265" s="5"/>
      <c r="M265" s="5"/>
    </row>
    <row r="266">
      <c r="A266" s="108"/>
      <c r="B266" s="108"/>
      <c r="C266" s="5"/>
      <c r="D266" s="5"/>
      <c r="E266" s="5"/>
      <c r="F266" s="5"/>
      <c r="G266" s="5"/>
      <c r="H266" s="5"/>
      <c r="I266" s="5"/>
      <c r="J266" s="5"/>
      <c r="K266" s="5"/>
      <c r="L266" s="5"/>
      <c r="M266" s="5"/>
    </row>
    <row r="267">
      <c r="A267" s="108"/>
      <c r="B267" s="108"/>
      <c r="C267" s="5"/>
      <c r="D267" s="5"/>
      <c r="E267" s="5"/>
      <c r="F267" s="5"/>
      <c r="G267" s="5"/>
      <c r="H267" s="5"/>
      <c r="I267" s="5"/>
      <c r="J267" s="5"/>
      <c r="K267" s="5"/>
      <c r="L267" s="5"/>
      <c r="M267" s="5"/>
    </row>
    <row r="268">
      <c r="A268" s="108"/>
      <c r="B268" s="108"/>
      <c r="C268" s="5"/>
      <c r="D268" s="5"/>
      <c r="E268" s="5"/>
      <c r="F268" s="5"/>
      <c r="G268" s="5"/>
      <c r="H268" s="5"/>
      <c r="I268" s="5"/>
      <c r="J268" s="5"/>
      <c r="K268" s="5"/>
      <c r="L268" s="5"/>
      <c r="M268" s="5"/>
    </row>
    <row r="269">
      <c r="A269" s="108"/>
      <c r="B269" s="108"/>
      <c r="C269" s="5"/>
      <c r="D269" s="5"/>
      <c r="E269" s="5"/>
      <c r="F269" s="5"/>
      <c r="G269" s="5"/>
      <c r="H269" s="5"/>
      <c r="I269" s="5"/>
      <c r="J269" s="5"/>
      <c r="K269" s="5"/>
      <c r="L269" s="5"/>
      <c r="M269" s="5"/>
    </row>
    <row r="270">
      <c r="A270" s="108"/>
      <c r="B270" s="108"/>
      <c r="C270" s="5"/>
      <c r="D270" s="5"/>
      <c r="E270" s="5"/>
      <c r="F270" s="5"/>
      <c r="G270" s="5"/>
      <c r="H270" s="5"/>
      <c r="I270" s="5"/>
      <c r="J270" s="5"/>
      <c r="K270" s="5"/>
      <c r="L270" s="5"/>
      <c r="M270" s="5"/>
    </row>
    <row r="271">
      <c r="A271" s="108"/>
      <c r="B271" s="108"/>
      <c r="C271" s="5"/>
      <c r="D271" s="5"/>
      <c r="E271" s="5"/>
      <c r="F271" s="5"/>
      <c r="G271" s="5"/>
      <c r="H271" s="5"/>
      <c r="I271" s="5"/>
      <c r="J271" s="5"/>
      <c r="K271" s="5"/>
      <c r="L271" s="5"/>
      <c r="M271" s="5"/>
    </row>
    <row r="272">
      <c r="A272" s="108"/>
      <c r="B272" s="108"/>
      <c r="C272" s="5"/>
      <c r="D272" s="5"/>
      <c r="E272" s="5"/>
      <c r="F272" s="5"/>
      <c r="G272" s="5"/>
      <c r="H272" s="5"/>
      <c r="I272" s="5"/>
      <c r="J272" s="5"/>
      <c r="K272" s="5"/>
      <c r="L272" s="5"/>
      <c r="M272" s="5"/>
    </row>
    <row r="273">
      <c r="A273" s="108"/>
      <c r="B273" s="108"/>
      <c r="C273" s="5"/>
      <c r="D273" s="5"/>
      <c r="E273" s="5"/>
      <c r="F273" s="5"/>
      <c r="G273" s="5"/>
      <c r="H273" s="5"/>
      <c r="I273" s="5"/>
      <c r="J273" s="5"/>
      <c r="K273" s="5"/>
      <c r="L273" s="5"/>
      <c r="M273" s="5"/>
    </row>
    <row r="274">
      <c r="A274" s="108"/>
      <c r="B274" s="108"/>
      <c r="C274" s="5"/>
      <c r="D274" s="5"/>
      <c r="E274" s="5"/>
      <c r="F274" s="5"/>
      <c r="G274" s="5"/>
      <c r="H274" s="5"/>
      <c r="I274" s="5"/>
      <c r="J274" s="5"/>
      <c r="K274" s="5"/>
      <c r="L274" s="5"/>
      <c r="M274" s="5"/>
    </row>
    <row r="275">
      <c r="A275" s="108"/>
      <c r="B275" s="108"/>
      <c r="C275" s="5"/>
      <c r="D275" s="5"/>
      <c r="E275" s="5"/>
      <c r="F275" s="5"/>
      <c r="G275" s="5"/>
      <c r="H275" s="5"/>
      <c r="I275" s="5"/>
      <c r="J275" s="5"/>
      <c r="K275" s="5"/>
      <c r="L275" s="5"/>
      <c r="M275" s="5"/>
    </row>
    <row r="276">
      <c r="A276" s="108"/>
      <c r="B276" s="108"/>
      <c r="C276" s="5"/>
      <c r="D276" s="5"/>
      <c r="E276" s="5"/>
      <c r="F276" s="5"/>
      <c r="G276" s="5"/>
      <c r="H276" s="5"/>
      <c r="I276" s="5"/>
      <c r="J276" s="5"/>
      <c r="K276" s="5"/>
      <c r="L276" s="5"/>
      <c r="M276" s="5"/>
    </row>
    <row r="277">
      <c r="A277" s="108"/>
      <c r="B277" s="108"/>
      <c r="C277" s="5"/>
      <c r="D277" s="5"/>
      <c r="E277" s="5"/>
      <c r="F277" s="5"/>
      <c r="G277" s="5"/>
      <c r="H277" s="5"/>
      <c r="I277" s="5"/>
      <c r="J277" s="5"/>
      <c r="K277" s="5"/>
      <c r="L277" s="5"/>
      <c r="M277" s="5"/>
    </row>
    <row r="278">
      <c r="A278" s="108"/>
      <c r="B278" s="108"/>
      <c r="C278" s="5"/>
      <c r="D278" s="5"/>
      <c r="E278" s="5"/>
      <c r="F278" s="5"/>
      <c r="G278" s="5"/>
      <c r="H278" s="5"/>
      <c r="I278" s="5"/>
      <c r="J278" s="5"/>
      <c r="K278" s="5"/>
      <c r="L278" s="5"/>
      <c r="M278" s="5"/>
    </row>
    <row r="279">
      <c r="A279" s="108"/>
      <c r="B279" s="108"/>
      <c r="C279" s="5"/>
      <c r="D279" s="5"/>
      <c r="E279" s="5"/>
      <c r="F279" s="5"/>
      <c r="G279" s="5"/>
      <c r="H279" s="5"/>
      <c r="I279" s="5"/>
      <c r="J279" s="5"/>
      <c r="K279" s="5"/>
      <c r="L279" s="5"/>
      <c r="M279" s="5"/>
    </row>
    <row r="280">
      <c r="A280" s="108"/>
      <c r="B280" s="108"/>
      <c r="C280" s="5"/>
      <c r="D280" s="5"/>
      <c r="E280" s="5"/>
      <c r="F280" s="5"/>
      <c r="G280" s="5"/>
      <c r="H280" s="5"/>
      <c r="I280" s="5"/>
      <c r="J280" s="5"/>
      <c r="K280" s="5"/>
      <c r="L280" s="5"/>
      <c r="M280" s="5"/>
    </row>
    <row r="281">
      <c r="A281" s="108"/>
      <c r="B281" s="108"/>
      <c r="C281" s="5"/>
      <c r="D281" s="5"/>
      <c r="E281" s="5"/>
      <c r="F281" s="5"/>
      <c r="G281" s="5"/>
      <c r="H281" s="5"/>
      <c r="I281" s="5"/>
      <c r="J281" s="5"/>
      <c r="K281" s="5"/>
      <c r="L281" s="5"/>
      <c r="M281" s="5"/>
    </row>
    <row r="282">
      <c r="A282" s="108"/>
      <c r="B282" s="108"/>
      <c r="C282" s="5"/>
      <c r="D282" s="5"/>
      <c r="E282" s="5"/>
      <c r="F282" s="5"/>
      <c r="G282" s="5"/>
      <c r="H282" s="5"/>
      <c r="I282" s="5"/>
      <c r="J282" s="5"/>
      <c r="K282" s="5"/>
      <c r="L282" s="5"/>
      <c r="M282" s="5"/>
    </row>
    <row r="283">
      <c r="A283" s="108"/>
      <c r="B283" s="108"/>
      <c r="C283" s="5"/>
      <c r="D283" s="5"/>
      <c r="E283" s="5"/>
      <c r="F283" s="5"/>
      <c r="G283" s="5"/>
      <c r="H283" s="5"/>
      <c r="I283" s="5"/>
      <c r="J283" s="5"/>
      <c r="K283" s="5"/>
      <c r="L283" s="5"/>
      <c r="M283" s="5"/>
    </row>
    <row r="284">
      <c r="A284" s="108"/>
      <c r="B284" s="108"/>
      <c r="C284" s="5"/>
      <c r="D284" s="5"/>
      <c r="E284" s="5"/>
      <c r="F284" s="5"/>
      <c r="G284" s="5"/>
      <c r="H284" s="5"/>
      <c r="I284" s="5"/>
      <c r="J284" s="5"/>
      <c r="K284" s="5"/>
      <c r="L284" s="5"/>
      <c r="M284" s="5"/>
    </row>
    <row r="285">
      <c r="A285" s="108"/>
      <c r="B285" s="108"/>
      <c r="C285" s="5"/>
      <c r="D285" s="5"/>
      <c r="E285" s="5"/>
      <c r="F285" s="5"/>
      <c r="G285" s="5"/>
      <c r="H285" s="5"/>
      <c r="I285" s="5"/>
      <c r="J285" s="5"/>
      <c r="K285" s="5"/>
      <c r="L285" s="5"/>
      <c r="M285" s="5"/>
    </row>
    <row r="286">
      <c r="A286" s="108"/>
      <c r="B286" s="108"/>
      <c r="C286" s="5"/>
      <c r="D286" s="5"/>
      <c r="E286" s="5"/>
      <c r="F286" s="5"/>
      <c r="G286" s="5"/>
      <c r="H286" s="5"/>
      <c r="I286" s="5"/>
      <c r="J286" s="5"/>
      <c r="K286" s="5"/>
      <c r="L286" s="5"/>
      <c r="M286" s="5"/>
    </row>
    <row r="287">
      <c r="A287" s="108"/>
      <c r="B287" s="108"/>
      <c r="C287" s="5"/>
      <c r="D287" s="5"/>
      <c r="E287" s="5"/>
      <c r="F287" s="5"/>
      <c r="G287" s="5"/>
      <c r="H287" s="5"/>
      <c r="I287" s="5"/>
      <c r="J287" s="5"/>
      <c r="K287" s="5"/>
      <c r="L287" s="5"/>
      <c r="M287" s="5"/>
    </row>
    <row r="288">
      <c r="A288" s="108"/>
      <c r="B288" s="108"/>
      <c r="C288" s="5"/>
      <c r="D288" s="5"/>
      <c r="E288" s="5"/>
      <c r="F288" s="5"/>
      <c r="G288" s="5"/>
      <c r="H288" s="5"/>
      <c r="I288" s="5"/>
      <c r="J288" s="5"/>
      <c r="K288" s="5"/>
      <c r="L288" s="5"/>
      <c r="M288" s="5"/>
    </row>
    <row r="289">
      <c r="A289" s="108"/>
      <c r="B289" s="108"/>
      <c r="C289" s="5"/>
      <c r="D289" s="5"/>
      <c r="E289" s="5"/>
      <c r="F289" s="5"/>
      <c r="G289" s="5"/>
      <c r="H289" s="5"/>
      <c r="I289" s="5"/>
      <c r="J289" s="5"/>
      <c r="K289" s="5"/>
      <c r="L289" s="5"/>
      <c r="M289" s="5"/>
    </row>
    <row r="290">
      <c r="A290" s="108"/>
      <c r="B290" s="108"/>
      <c r="C290" s="5"/>
      <c r="D290" s="5"/>
      <c r="E290" s="5"/>
      <c r="F290" s="5"/>
      <c r="G290" s="5"/>
      <c r="H290" s="5"/>
      <c r="I290" s="5"/>
      <c r="J290" s="5"/>
      <c r="K290" s="5"/>
      <c r="L290" s="5"/>
      <c r="M290" s="5"/>
    </row>
    <row r="291">
      <c r="A291" s="108"/>
      <c r="B291" s="108"/>
      <c r="C291" s="5"/>
      <c r="D291" s="5"/>
      <c r="E291" s="5"/>
      <c r="F291" s="5"/>
      <c r="G291" s="5"/>
      <c r="H291" s="5"/>
      <c r="I291" s="5"/>
      <c r="J291" s="5"/>
      <c r="K291" s="5"/>
      <c r="L291" s="5"/>
      <c r="M291" s="5"/>
    </row>
    <row r="292">
      <c r="A292" s="108"/>
      <c r="B292" s="108"/>
      <c r="C292" s="5"/>
      <c r="D292" s="5"/>
      <c r="E292" s="5"/>
      <c r="F292" s="5"/>
      <c r="G292" s="5"/>
      <c r="H292" s="5"/>
      <c r="I292" s="5"/>
      <c r="J292" s="5"/>
      <c r="K292" s="5"/>
      <c r="L292" s="5"/>
      <c r="M292" s="5"/>
    </row>
    <row r="293">
      <c r="A293" s="108"/>
      <c r="B293" s="108"/>
      <c r="C293" s="5"/>
      <c r="D293" s="5"/>
      <c r="E293" s="5"/>
      <c r="F293" s="5"/>
      <c r="G293" s="5"/>
      <c r="H293" s="5"/>
      <c r="I293" s="5"/>
      <c r="J293" s="5"/>
      <c r="K293" s="5"/>
      <c r="L293" s="5"/>
      <c r="M293" s="5"/>
    </row>
    <row r="294">
      <c r="A294" s="108"/>
      <c r="B294" s="108"/>
      <c r="C294" s="5"/>
      <c r="D294" s="5"/>
      <c r="E294" s="5"/>
      <c r="F294" s="5"/>
      <c r="G294" s="5"/>
      <c r="H294" s="5"/>
      <c r="I294" s="5"/>
      <c r="J294" s="5"/>
      <c r="K294" s="5"/>
      <c r="L294" s="5"/>
      <c r="M294" s="5"/>
    </row>
    <row r="295">
      <c r="A295" s="108"/>
      <c r="B295" s="108"/>
      <c r="C295" s="5"/>
      <c r="D295" s="5"/>
      <c r="E295" s="5"/>
      <c r="F295" s="5"/>
      <c r="G295" s="5"/>
      <c r="H295" s="5"/>
      <c r="I295" s="5"/>
      <c r="J295" s="5"/>
      <c r="K295" s="5"/>
      <c r="L295" s="5"/>
      <c r="M295" s="5"/>
    </row>
    <row r="296">
      <c r="A296" s="108"/>
      <c r="B296" s="108"/>
      <c r="C296" s="5"/>
      <c r="D296" s="5"/>
      <c r="E296" s="5"/>
      <c r="F296" s="5"/>
      <c r="G296" s="5"/>
      <c r="H296" s="5"/>
      <c r="I296" s="5"/>
      <c r="J296" s="5"/>
      <c r="K296" s="5"/>
      <c r="L296" s="5"/>
      <c r="M296" s="5"/>
    </row>
    <row r="297">
      <c r="A297" s="108"/>
      <c r="B297" s="108"/>
      <c r="C297" s="5"/>
      <c r="D297" s="5"/>
      <c r="E297" s="5"/>
      <c r="F297" s="5"/>
      <c r="G297" s="5"/>
      <c r="H297" s="5"/>
      <c r="I297" s="5"/>
      <c r="J297" s="5"/>
      <c r="K297" s="5"/>
      <c r="L297" s="5"/>
      <c r="M297" s="5"/>
    </row>
    <row r="298">
      <c r="A298" s="108"/>
      <c r="B298" s="108"/>
      <c r="C298" s="5"/>
      <c r="D298" s="5"/>
      <c r="E298" s="5"/>
      <c r="F298" s="5"/>
      <c r="G298" s="5"/>
      <c r="H298" s="5"/>
      <c r="I298" s="5"/>
      <c r="J298" s="5"/>
      <c r="K298" s="5"/>
      <c r="L298" s="5"/>
      <c r="M298" s="5"/>
    </row>
    <row r="299">
      <c r="A299" s="108"/>
      <c r="B299" s="108"/>
      <c r="C299" s="5"/>
      <c r="D299" s="5"/>
      <c r="E299" s="5"/>
      <c r="F299" s="5"/>
      <c r="G299" s="5"/>
      <c r="H299" s="5"/>
      <c r="I299" s="5"/>
      <c r="J299" s="5"/>
      <c r="K299" s="5"/>
      <c r="L299" s="5"/>
      <c r="M299" s="5"/>
    </row>
    <row r="300">
      <c r="A300" s="108"/>
      <c r="B300" s="108"/>
      <c r="C300" s="5"/>
      <c r="D300" s="5"/>
      <c r="E300" s="5"/>
      <c r="F300" s="5"/>
      <c r="G300" s="5"/>
      <c r="H300" s="5"/>
      <c r="I300" s="5"/>
      <c r="J300" s="5"/>
      <c r="K300" s="5"/>
      <c r="L300" s="5"/>
      <c r="M300" s="5"/>
    </row>
    <row r="301">
      <c r="A301" s="108"/>
      <c r="B301" s="108"/>
      <c r="C301" s="5"/>
      <c r="D301" s="5"/>
      <c r="E301" s="5"/>
      <c r="F301" s="5"/>
      <c r="G301" s="5"/>
      <c r="H301" s="5"/>
      <c r="I301" s="5"/>
      <c r="J301" s="5"/>
      <c r="K301" s="5"/>
      <c r="L301" s="5"/>
      <c r="M301" s="5"/>
    </row>
    <row r="302">
      <c r="A302" s="108"/>
      <c r="B302" s="108"/>
      <c r="C302" s="5"/>
      <c r="D302" s="5"/>
      <c r="E302" s="5"/>
      <c r="F302" s="5"/>
      <c r="G302" s="5"/>
      <c r="H302" s="5"/>
      <c r="I302" s="5"/>
      <c r="J302" s="5"/>
      <c r="K302" s="5"/>
      <c r="L302" s="5"/>
      <c r="M302" s="5"/>
    </row>
    <row r="303">
      <c r="A303" s="108"/>
      <c r="B303" s="108"/>
      <c r="C303" s="5"/>
      <c r="D303" s="5"/>
      <c r="E303" s="5"/>
      <c r="F303" s="5"/>
      <c r="G303" s="5"/>
      <c r="H303" s="5"/>
      <c r="I303" s="5"/>
      <c r="J303" s="5"/>
      <c r="K303" s="5"/>
      <c r="L303" s="5"/>
      <c r="M303" s="5"/>
    </row>
    <row r="304">
      <c r="A304" s="108"/>
      <c r="B304" s="108"/>
      <c r="C304" s="5"/>
      <c r="D304" s="5"/>
      <c r="E304" s="5"/>
      <c r="F304" s="5"/>
      <c r="G304" s="5"/>
      <c r="H304" s="5"/>
      <c r="I304" s="5"/>
      <c r="J304" s="5"/>
      <c r="K304" s="5"/>
      <c r="L304" s="5"/>
      <c r="M304" s="5"/>
    </row>
    <row r="305">
      <c r="A305" s="108"/>
      <c r="B305" s="108"/>
      <c r="C305" s="5"/>
      <c r="D305" s="5"/>
      <c r="E305" s="5"/>
      <c r="F305" s="5"/>
      <c r="G305" s="5"/>
      <c r="H305" s="5"/>
      <c r="I305" s="5"/>
      <c r="J305" s="5"/>
      <c r="K305" s="5"/>
      <c r="L305" s="5"/>
      <c r="M305" s="5"/>
    </row>
    <row r="306">
      <c r="A306" s="108"/>
      <c r="B306" s="108"/>
      <c r="C306" s="5"/>
      <c r="D306" s="5"/>
      <c r="E306" s="5"/>
      <c r="F306" s="5"/>
      <c r="G306" s="5"/>
      <c r="H306" s="5"/>
      <c r="I306" s="5"/>
      <c r="J306" s="5"/>
      <c r="K306" s="5"/>
      <c r="L306" s="5"/>
      <c r="M306" s="5"/>
    </row>
    <row r="307">
      <c r="A307" s="108"/>
      <c r="B307" s="108"/>
      <c r="C307" s="5"/>
      <c r="D307" s="5"/>
      <c r="E307" s="5"/>
      <c r="F307" s="5"/>
      <c r="G307" s="5"/>
      <c r="H307" s="5"/>
      <c r="I307" s="5"/>
      <c r="J307" s="5"/>
      <c r="K307" s="5"/>
      <c r="L307" s="5"/>
      <c r="M307" s="5"/>
    </row>
    <row r="308">
      <c r="A308" s="108"/>
      <c r="B308" s="108"/>
      <c r="C308" s="5"/>
      <c r="D308" s="5"/>
      <c r="E308" s="5"/>
      <c r="F308" s="5"/>
      <c r="G308" s="5"/>
      <c r="H308" s="5"/>
      <c r="I308" s="5"/>
      <c r="J308" s="5"/>
      <c r="K308" s="5"/>
      <c r="L308" s="5"/>
      <c r="M308" s="5"/>
    </row>
    <row r="309">
      <c r="A309" s="108"/>
      <c r="B309" s="108"/>
      <c r="C309" s="5"/>
      <c r="D309" s="5"/>
      <c r="E309" s="5"/>
      <c r="F309" s="5"/>
      <c r="G309" s="5"/>
      <c r="H309" s="5"/>
      <c r="I309" s="5"/>
      <c r="J309" s="5"/>
      <c r="K309" s="5"/>
      <c r="L309" s="5"/>
      <c r="M309" s="5"/>
    </row>
    <row r="310">
      <c r="A310" s="108"/>
      <c r="B310" s="108"/>
      <c r="C310" s="5"/>
      <c r="D310" s="5"/>
      <c r="E310" s="5"/>
      <c r="F310" s="5"/>
      <c r="G310" s="5"/>
      <c r="H310" s="5"/>
      <c r="I310" s="5"/>
      <c r="J310" s="5"/>
      <c r="K310" s="5"/>
      <c r="L310" s="5"/>
      <c r="M310" s="5"/>
    </row>
    <row r="311">
      <c r="A311" s="108"/>
      <c r="B311" s="108"/>
      <c r="C311" s="5"/>
      <c r="D311" s="5"/>
      <c r="E311" s="5"/>
      <c r="F311" s="5"/>
      <c r="G311" s="5"/>
      <c r="H311" s="5"/>
      <c r="I311" s="5"/>
      <c r="J311" s="5"/>
      <c r="K311" s="5"/>
      <c r="L311" s="5"/>
      <c r="M311" s="5"/>
    </row>
    <row r="312">
      <c r="A312" s="108"/>
      <c r="B312" s="108"/>
      <c r="C312" s="5"/>
      <c r="D312" s="5"/>
      <c r="E312" s="5"/>
      <c r="F312" s="5"/>
      <c r="G312" s="5"/>
      <c r="H312" s="5"/>
      <c r="I312" s="5"/>
      <c r="J312" s="5"/>
      <c r="K312" s="5"/>
      <c r="L312" s="5"/>
      <c r="M312" s="5"/>
    </row>
    <row r="313">
      <c r="A313" s="108"/>
      <c r="B313" s="108"/>
      <c r="C313" s="5"/>
      <c r="D313" s="5"/>
      <c r="E313" s="5"/>
      <c r="F313" s="5"/>
      <c r="G313" s="5"/>
      <c r="H313" s="5"/>
      <c r="I313" s="5"/>
      <c r="J313" s="5"/>
      <c r="K313" s="5"/>
      <c r="L313" s="5"/>
      <c r="M313" s="5"/>
    </row>
    <row r="314">
      <c r="A314" s="108"/>
      <c r="B314" s="108"/>
      <c r="C314" s="5"/>
      <c r="D314" s="5"/>
      <c r="E314" s="5"/>
      <c r="F314" s="5"/>
      <c r="G314" s="5"/>
      <c r="H314" s="5"/>
      <c r="I314" s="5"/>
      <c r="J314" s="5"/>
      <c r="K314" s="5"/>
      <c r="L314" s="5"/>
      <c r="M314" s="5"/>
    </row>
    <row r="315">
      <c r="A315" s="108"/>
      <c r="B315" s="108"/>
      <c r="C315" s="5"/>
      <c r="D315" s="5"/>
      <c r="E315" s="5"/>
      <c r="F315" s="5"/>
      <c r="G315" s="5"/>
      <c r="H315" s="5"/>
      <c r="I315" s="5"/>
      <c r="J315" s="5"/>
      <c r="K315" s="5"/>
      <c r="L315" s="5"/>
      <c r="M315" s="5"/>
    </row>
    <row r="316">
      <c r="A316" s="108"/>
      <c r="B316" s="108"/>
      <c r="C316" s="5"/>
      <c r="D316" s="5"/>
      <c r="E316" s="5"/>
      <c r="F316" s="5"/>
      <c r="G316" s="5"/>
      <c r="H316" s="5"/>
      <c r="I316" s="5"/>
      <c r="J316" s="5"/>
      <c r="K316" s="5"/>
      <c r="L316" s="5"/>
      <c r="M316" s="5"/>
    </row>
    <row r="317">
      <c r="A317" s="108"/>
      <c r="B317" s="108"/>
      <c r="C317" s="5"/>
      <c r="D317" s="5"/>
      <c r="E317" s="5"/>
      <c r="F317" s="5"/>
      <c r="G317" s="5"/>
      <c r="H317" s="5"/>
      <c r="I317" s="5"/>
      <c r="J317" s="5"/>
      <c r="K317" s="5"/>
      <c r="L317" s="5"/>
      <c r="M317" s="5"/>
    </row>
    <row r="318">
      <c r="A318" s="108"/>
      <c r="B318" s="108"/>
      <c r="C318" s="5"/>
      <c r="D318" s="5"/>
      <c r="E318" s="5"/>
      <c r="F318" s="5"/>
      <c r="G318" s="5"/>
      <c r="H318" s="5"/>
      <c r="I318" s="5"/>
      <c r="J318" s="5"/>
      <c r="K318" s="5"/>
      <c r="L318" s="5"/>
      <c r="M318" s="5"/>
    </row>
    <row r="319">
      <c r="A319" s="108"/>
      <c r="B319" s="108"/>
      <c r="C319" s="5"/>
      <c r="D319" s="5"/>
      <c r="E319" s="5"/>
      <c r="F319" s="5"/>
      <c r="G319" s="5"/>
      <c r="H319" s="5"/>
      <c r="I319" s="5"/>
      <c r="J319" s="5"/>
      <c r="K319" s="5"/>
      <c r="L319" s="5"/>
      <c r="M319" s="5"/>
    </row>
    <row r="320">
      <c r="A320" s="108"/>
      <c r="B320" s="108"/>
      <c r="C320" s="5"/>
      <c r="D320" s="5"/>
      <c r="E320" s="5"/>
      <c r="F320" s="5"/>
      <c r="G320" s="5"/>
      <c r="H320" s="5"/>
      <c r="I320" s="5"/>
      <c r="J320" s="5"/>
      <c r="K320" s="5"/>
      <c r="L320" s="5"/>
      <c r="M320" s="5"/>
    </row>
    <row r="321">
      <c r="A321" s="108"/>
      <c r="B321" s="108"/>
      <c r="C321" s="5"/>
      <c r="D321" s="5"/>
      <c r="E321" s="5"/>
      <c r="F321" s="5"/>
      <c r="G321" s="5"/>
      <c r="H321" s="5"/>
      <c r="I321" s="5"/>
      <c r="J321" s="5"/>
      <c r="K321" s="5"/>
      <c r="L321" s="5"/>
      <c r="M321" s="5"/>
    </row>
    <row r="322">
      <c r="A322" s="108"/>
      <c r="B322" s="108"/>
      <c r="C322" s="5"/>
      <c r="D322" s="5"/>
      <c r="E322" s="5"/>
      <c r="F322" s="5"/>
      <c r="G322" s="5"/>
      <c r="H322" s="5"/>
      <c r="I322" s="5"/>
      <c r="J322" s="5"/>
      <c r="K322" s="5"/>
      <c r="L322" s="5"/>
      <c r="M322" s="5"/>
    </row>
    <row r="323">
      <c r="A323" s="108"/>
      <c r="B323" s="108"/>
      <c r="C323" s="5"/>
      <c r="D323" s="5"/>
      <c r="E323" s="5"/>
      <c r="F323" s="5"/>
      <c r="G323" s="5"/>
      <c r="H323" s="5"/>
      <c r="I323" s="5"/>
      <c r="J323" s="5"/>
      <c r="K323" s="5"/>
      <c r="L323" s="5"/>
      <c r="M323" s="5"/>
    </row>
    <row r="324">
      <c r="A324" s="108"/>
      <c r="B324" s="108"/>
      <c r="C324" s="5"/>
      <c r="D324" s="5"/>
      <c r="E324" s="5"/>
      <c r="F324" s="5"/>
      <c r="G324" s="5"/>
      <c r="H324" s="5"/>
      <c r="I324" s="5"/>
      <c r="J324" s="5"/>
      <c r="K324" s="5"/>
      <c r="L324" s="5"/>
      <c r="M324" s="5"/>
    </row>
    <row r="325">
      <c r="A325" s="108"/>
      <c r="B325" s="108"/>
      <c r="C325" s="5"/>
      <c r="D325" s="5"/>
      <c r="E325" s="5"/>
      <c r="F325" s="5"/>
      <c r="G325" s="5"/>
      <c r="H325" s="5"/>
      <c r="I325" s="5"/>
      <c r="J325" s="5"/>
      <c r="K325" s="5"/>
      <c r="L325" s="5"/>
      <c r="M325" s="5"/>
    </row>
    <row r="326">
      <c r="A326" s="108"/>
      <c r="B326" s="108"/>
      <c r="C326" s="5"/>
      <c r="D326" s="5"/>
      <c r="E326" s="5"/>
      <c r="F326" s="5"/>
      <c r="G326" s="5"/>
      <c r="H326" s="5"/>
      <c r="I326" s="5"/>
      <c r="J326" s="5"/>
      <c r="K326" s="5"/>
      <c r="L326" s="5"/>
      <c r="M326" s="5"/>
    </row>
    <row r="327">
      <c r="A327" s="108"/>
      <c r="B327" s="108"/>
      <c r="C327" s="5"/>
      <c r="D327" s="5"/>
      <c r="E327" s="5"/>
      <c r="F327" s="5"/>
      <c r="G327" s="5"/>
      <c r="H327" s="5"/>
      <c r="I327" s="5"/>
      <c r="J327" s="5"/>
      <c r="K327" s="5"/>
      <c r="L327" s="5"/>
      <c r="M327" s="5"/>
    </row>
    <row r="328">
      <c r="A328" s="108"/>
      <c r="B328" s="108"/>
      <c r="C328" s="5"/>
      <c r="D328" s="5"/>
      <c r="E328" s="5"/>
      <c r="F328" s="5"/>
      <c r="G328" s="5"/>
      <c r="H328" s="5"/>
      <c r="I328" s="5"/>
      <c r="J328" s="5"/>
      <c r="K328" s="5"/>
      <c r="L328" s="5"/>
      <c r="M328" s="5"/>
    </row>
    <row r="329">
      <c r="A329" s="108"/>
      <c r="B329" s="108"/>
      <c r="C329" s="5"/>
      <c r="D329" s="5"/>
      <c r="E329" s="5"/>
      <c r="F329" s="5"/>
      <c r="G329" s="5"/>
      <c r="H329" s="5"/>
      <c r="I329" s="5"/>
      <c r="J329" s="5"/>
      <c r="K329" s="5"/>
      <c r="L329" s="5"/>
      <c r="M329" s="5"/>
    </row>
    <row r="330">
      <c r="A330" s="108"/>
      <c r="B330" s="108"/>
      <c r="C330" s="5"/>
      <c r="D330" s="5"/>
      <c r="E330" s="5"/>
      <c r="F330" s="5"/>
      <c r="G330" s="5"/>
      <c r="H330" s="5"/>
      <c r="I330" s="5"/>
      <c r="J330" s="5"/>
      <c r="K330" s="5"/>
      <c r="L330" s="5"/>
      <c r="M330" s="5"/>
    </row>
    <row r="331">
      <c r="A331" s="108"/>
      <c r="B331" s="108"/>
      <c r="C331" s="5"/>
      <c r="D331" s="5"/>
      <c r="E331" s="5"/>
      <c r="F331" s="5"/>
      <c r="G331" s="5"/>
      <c r="H331" s="5"/>
      <c r="I331" s="5"/>
      <c r="J331" s="5"/>
      <c r="K331" s="5"/>
      <c r="L331" s="5"/>
      <c r="M331" s="5"/>
    </row>
    <row r="332">
      <c r="A332" s="108"/>
      <c r="B332" s="108"/>
      <c r="C332" s="5"/>
      <c r="D332" s="5"/>
      <c r="E332" s="5"/>
      <c r="F332" s="5"/>
      <c r="G332" s="5"/>
      <c r="H332" s="5"/>
      <c r="I332" s="5"/>
      <c r="J332" s="5"/>
      <c r="K332" s="5"/>
      <c r="L332" s="5"/>
      <c r="M332" s="5"/>
    </row>
    <row r="333">
      <c r="A333" s="108"/>
      <c r="B333" s="108"/>
      <c r="C333" s="5"/>
      <c r="D333" s="5"/>
      <c r="E333" s="5"/>
      <c r="F333" s="5"/>
      <c r="G333" s="5"/>
      <c r="H333" s="5"/>
      <c r="I333" s="5"/>
      <c r="J333" s="5"/>
      <c r="K333" s="5"/>
      <c r="L333" s="5"/>
      <c r="M333" s="5"/>
    </row>
    <row r="334">
      <c r="A334" s="108"/>
      <c r="B334" s="108"/>
      <c r="C334" s="5"/>
      <c r="D334" s="5"/>
      <c r="E334" s="5"/>
      <c r="F334" s="5"/>
      <c r="G334" s="5"/>
      <c r="H334" s="5"/>
      <c r="I334" s="5"/>
      <c r="J334" s="5"/>
      <c r="K334" s="5"/>
      <c r="L334" s="5"/>
      <c r="M334" s="5"/>
    </row>
    <row r="335">
      <c r="A335" s="108"/>
      <c r="B335" s="108"/>
      <c r="C335" s="5"/>
      <c r="D335" s="5"/>
      <c r="E335" s="5"/>
      <c r="F335" s="5"/>
      <c r="G335" s="5"/>
      <c r="H335" s="5"/>
      <c r="I335" s="5"/>
      <c r="J335" s="5"/>
      <c r="K335" s="5"/>
      <c r="L335" s="5"/>
      <c r="M335" s="5"/>
    </row>
    <row r="336">
      <c r="A336" s="108"/>
      <c r="B336" s="108"/>
      <c r="C336" s="5"/>
      <c r="D336" s="5"/>
      <c r="E336" s="5"/>
      <c r="F336" s="5"/>
      <c r="G336" s="5"/>
      <c r="H336" s="5"/>
      <c r="I336" s="5"/>
      <c r="J336" s="5"/>
      <c r="K336" s="5"/>
      <c r="L336" s="5"/>
      <c r="M336" s="5"/>
    </row>
    <row r="337">
      <c r="A337" s="108"/>
      <c r="B337" s="108"/>
      <c r="C337" s="5"/>
      <c r="D337" s="5"/>
      <c r="E337" s="5"/>
      <c r="F337" s="5"/>
      <c r="G337" s="5"/>
      <c r="H337" s="5"/>
      <c r="I337" s="5"/>
      <c r="J337" s="5"/>
      <c r="K337" s="5"/>
      <c r="L337" s="5"/>
      <c r="M337" s="5"/>
    </row>
    <row r="338">
      <c r="A338" s="108"/>
      <c r="B338" s="108"/>
      <c r="C338" s="5"/>
      <c r="D338" s="5"/>
      <c r="E338" s="5"/>
      <c r="F338" s="5"/>
      <c r="G338" s="5"/>
      <c r="H338" s="5"/>
      <c r="I338" s="5"/>
      <c r="J338" s="5"/>
      <c r="K338" s="5"/>
      <c r="L338" s="5"/>
      <c r="M338" s="5"/>
    </row>
    <row r="339">
      <c r="A339" s="108"/>
      <c r="B339" s="108"/>
      <c r="C339" s="5"/>
      <c r="D339" s="5"/>
      <c r="E339" s="5"/>
      <c r="F339" s="5"/>
      <c r="G339" s="5"/>
      <c r="H339" s="5"/>
      <c r="I339" s="5"/>
      <c r="J339" s="5"/>
      <c r="K339" s="5"/>
      <c r="L339" s="5"/>
      <c r="M339" s="5"/>
    </row>
    <row r="340">
      <c r="A340" s="108"/>
      <c r="B340" s="108"/>
      <c r="C340" s="5"/>
      <c r="D340" s="5"/>
      <c r="E340" s="5"/>
      <c r="F340" s="5"/>
      <c r="G340" s="5"/>
      <c r="H340" s="5"/>
      <c r="I340" s="5"/>
      <c r="J340" s="5"/>
      <c r="K340" s="5"/>
      <c r="L340" s="5"/>
      <c r="M340" s="5"/>
    </row>
    <row r="341">
      <c r="A341" s="108"/>
      <c r="B341" s="108"/>
      <c r="C341" s="5"/>
      <c r="D341" s="5"/>
      <c r="E341" s="5"/>
      <c r="F341" s="5"/>
      <c r="G341" s="5"/>
      <c r="H341" s="5"/>
      <c r="I341" s="5"/>
      <c r="J341" s="5"/>
      <c r="K341" s="5"/>
      <c r="L341" s="5"/>
      <c r="M341" s="5"/>
    </row>
    <row r="342">
      <c r="A342" s="108"/>
      <c r="B342" s="108"/>
      <c r="C342" s="5"/>
      <c r="D342" s="5"/>
      <c r="E342" s="5"/>
      <c r="F342" s="5"/>
      <c r="G342" s="5"/>
      <c r="H342" s="5"/>
      <c r="I342" s="5"/>
      <c r="J342" s="5"/>
      <c r="K342" s="5"/>
      <c r="L342" s="5"/>
      <c r="M342" s="5"/>
    </row>
    <row r="343">
      <c r="A343" s="108"/>
      <c r="B343" s="108"/>
      <c r="C343" s="5"/>
      <c r="D343" s="5"/>
      <c r="E343" s="5"/>
      <c r="F343" s="5"/>
      <c r="G343" s="5"/>
      <c r="H343" s="5"/>
      <c r="I343" s="5"/>
      <c r="J343" s="5"/>
      <c r="K343" s="5"/>
      <c r="L343" s="5"/>
      <c r="M343" s="5"/>
    </row>
    <row r="344">
      <c r="A344" s="108"/>
      <c r="B344" s="108"/>
      <c r="C344" s="5"/>
      <c r="D344" s="5"/>
      <c r="E344" s="5"/>
      <c r="F344" s="5"/>
      <c r="G344" s="5"/>
      <c r="H344" s="5"/>
      <c r="I344" s="5"/>
      <c r="J344" s="5"/>
      <c r="K344" s="5"/>
      <c r="L344" s="5"/>
      <c r="M344" s="5"/>
    </row>
    <row r="345">
      <c r="A345" s="108"/>
      <c r="B345" s="108"/>
      <c r="C345" s="5"/>
      <c r="D345" s="5"/>
      <c r="E345" s="5"/>
      <c r="F345" s="5"/>
      <c r="G345" s="5"/>
      <c r="H345" s="5"/>
      <c r="I345" s="5"/>
      <c r="J345" s="5"/>
      <c r="K345" s="5"/>
      <c r="L345" s="5"/>
      <c r="M345" s="5"/>
    </row>
    <row r="346">
      <c r="A346" s="108"/>
      <c r="B346" s="108"/>
      <c r="C346" s="5"/>
      <c r="D346" s="5"/>
      <c r="E346" s="5"/>
      <c r="F346" s="5"/>
      <c r="G346" s="5"/>
      <c r="H346" s="5"/>
      <c r="I346" s="5"/>
      <c r="J346" s="5"/>
      <c r="K346" s="5"/>
      <c r="L346" s="5"/>
      <c r="M346" s="5"/>
    </row>
    <row r="347">
      <c r="A347" s="108"/>
      <c r="B347" s="108"/>
      <c r="C347" s="5"/>
      <c r="D347" s="5"/>
      <c r="E347" s="5"/>
      <c r="F347" s="5"/>
      <c r="G347" s="5"/>
      <c r="H347" s="5"/>
      <c r="I347" s="5"/>
      <c r="J347" s="5"/>
      <c r="K347" s="5"/>
      <c r="L347" s="5"/>
      <c r="M347" s="5"/>
    </row>
    <row r="348">
      <c r="A348" s="108"/>
      <c r="B348" s="108"/>
      <c r="C348" s="5"/>
      <c r="D348" s="5"/>
      <c r="E348" s="5"/>
      <c r="F348" s="5"/>
      <c r="G348" s="5"/>
      <c r="H348" s="5"/>
      <c r="I348" s="5"/>
      <c r="J348" s="5"/>
      <c r="K348" s="5"/>
      <c r="L348" s="5"/>
      <c r="M348" s="5"/>
    </row>
    <row r="349">
      <c r="A349" s="108"/>
      <c r="B349" s="108"/>
      <c r="C349" s="5"/>
      <c r="D349" s="5"/>
      <c r="E349" s="5"/>
      <c r="F349" s="5"/>
      <c r="G349" s="5"/>
      <c r="H349" s="5"/>
      <c r="I349" s="5"/>
      <c r="J349" s="5"/>
      <c r="K349" s="5"/>
      <c r="L349" s="5"/>
      <c r="M349" s="5"/>
    </row>
    <row r="350">
      <c r="A350" s="108"/>
      <c r="B350" s="108"/>
      <c r="C350" s="5"/>
      <c r="D350" s="5"/>
      <c r="E350" s="5"/>
      <c r="F350" s="5"/>
      <c r="G350" s="5"/>
      <c r="H350" s="5"/>
      <c r="I350" s="5"/>
      <c r="J350" s="5"/>
      <c r="K350" s="5"/>
      <c r="L350" s="5"/>
      <c r="M350" s="5"/>
    </row>
    <row r="351">
      <c r="A351" s="108"/>
      <c r="B351" s="108"/>
      <c r="C351" s="5"/>
      <c r="D351" s="5"/>
      <c r="E351" s="5"/>
      <c r="F351" s="5"/>
      <c r="G351" s="5"/>
      <c r="H351" s="5"/>
      <c r="I351" s="5"/>
      <c r="J351" s="5"/>
      <c r="K351" s="5"/>
      <c r="L351" s="5"/>
      <c r="M351" s="5"/>
    </row>
    <row r="352">
      <c r="A352" s="108"/>
      <c r="B352" s="108"/>
      <c r="C352" s="5"/>
      <c r="D352" s="5"/>
      <c r="E352" s="5"/>
      <c r="F352" s="5"/>
      <c r="G352" s="5"/>
      <c r="H352" s="5"/>
      <c r="I352" s="5"/>
      <c r="J352" s="5"/>
      <c r="K352" s="5"/>
      <c r="L352" s="5"/>
      <c r="M352" s="5"/>
    </row>
    <row r="353">
      <c r="A353" s="108"/>
      <c r="B353" s="108"/>
      <c r="C353" s="5"/>
      <c r="D353" s="5"/>
      <c r="E353" s="5"/>
      <c r="F353" s="5"/>
      <c r="G353" s="5"/>
      <c r="H353" s="5"/>
      <c r="I353" s="5"/>
      <c r="J353" s="5"/>
      <c r="K353" s="5"/>
      <c r="L353" s="5"/>
      <c r="M353" s="5"/>
    </row>
    <row r="354">
      <c r="A354" s="108"/>
      <c r="B354" s="108"/>
      <c r="C354" s="5"/>
      <c r="D354" s="5"/>
      <c r="E354" s="5"/>
      <c r="F354" s="5"/>
      <c r="G354" s="5"/>
      <c r="H354" s="5"/>
      <c r="I354" s="5"/>
      <c r="J354" s="5"/>
      <c r="K354" s="5"/>
      <c r="L354" s="5"/>
      <c r="M354" s="5"/>
    </row>
    <row r="355">
      <c r="A355" s="108"/>
      <c r="B355" s="108"/>
      <c r="C355" s="5"/>
      <c r="D355" s="5"/>
      <c r="E355" s="5"/>
      <c r="F355" s="5"/>
      <c r="G355" s="5"/>
      <c r="H355" s="5"/>
      <c r="I355" s="5"/>
      <c r="J355" s="5"/>
      <c r="K355" s="5"/>
      <c r="L355" s="5"/>
      <c r="M355" s="5"/>
    </row>
    <row r="356">
      <c r="A356" s="108"/>
      <c r="B356" s="108"/>
      <c r="C356" s="5"/>
      <c r="D356" s="5"/>
      <c r="E356" s="5"/>
      <c r="F356" s="5"/>
      <c r="G356" s="5"/>
      <c r="H356" s="5"/>
      <c r="I356" s="5"/>
      <c r="J356" s="5"/>
      <c r="K356" s="5"/>
      <c r="L356" s="5"/>
      <c r="M356" s="5"/>
    </row>
    <row r="357">
      <c r="A357" s="108"/>
      <c r="B357" s="108"/>
      <c r="C357" s="5"/>
      <c r="D357" s="5"/>
      <c r="E357" s="5"/>
      <c r="F357" s="5"/>
      <c r="G357" s="5"/>
      <c r="H357" s="5"/>
      <c r="I357" s="5"/>
      <c r="J357" s="5"/>
      <c r="K357" s="5"/>
      <c r="L357" s="5"/>
      <c r="M357" s="5"/>
    </row>
    <row r="358">
      <c r="A358" s="108"/>
      <c r="B358" s="108"/>
      <c r="C358" s="5"/>
      <c r="D358" s="5"/>
      <c r="E358" s="5"/>
      <c r="F358" s="5"/>
      <c r="G358" s="5"/>
      <c r="H358" s="5"/>
      <c r="I358" s="5"/>
      <c r="J358" s="5"/>
      <c r="K358" s="5"/>
      <c r="L358" s="5"/>
      <c r="M358" s="5"/>
    </row>
    <row r="359">
      <c r="A359" s="108"/>
      <c r="B359" s="108"/>
      <c r="C359" s="5"/>
      <c r="D359" s="5"/>
      <c r="E359" s="5"/>
      <c r="F359" s="5"/>
      <c r="G359" s="5"/>
      <c r="H359" s="5"/>
      <c r="I359" s="5"/>
      <c r="J359" s="5"/>
      <c r="K359" s="5"/>
      <c r="L359" s="5"/>
      <c r="M359" s="5"/>
    </row>
    <row r="360">
      <c r="A360" s="108"/>
      <c r="B360" s="108"/>
      <c r="C360" s="5"/>
      <c r="D360" s="5"/>
      <c r="E360" s="5"/>
      <c r="F360" s="5"/>
      <c r="G360" s="5"/>
      <c r="H360" s="5"/>
      <c r="I360" s="5"/>
      <c r="J360" s="5"/>
      <c r="K360" s="5"/>
      <c r="L360" s="5"/>
      <c r="M360" s="5"/>
    </row>
    <row r="361">
      <c r="A361" s="108"/>
      <c r="B361" s="108"/>
      <c r="C361" s="5"/>
      <c r="D361" s="5"/>
      <c r="E361" s="5"/>
      <c r="F361" s="5"/>
      <c r="G361" s="5"/>
      <c r="H361" s="5"/>
      <c r="I361" s="5"/>
      <c r="J361" s="5"/>
      <c r="K361" s="5"/>
      <c r="L361" s="5"/>
      <c r="M361" s="5"/>
    </row>
    <row r="362">
      <c r="A362" s="108"/>
      <c r="B362" s="108"/>
      <c r="C362" s="5"/>
      <c r="D362" s="5"/>
      <c r="E362" s="5"/>
      <c r="F362" s="5"/>
      <c r="G362" s="5"/>
      <c r="H362" s="5"/>
      <c r="I362" s="5"/>
      <c r="J362" s="5"/>
      <c r="K362" s="5"/>
      <c r="L362" s="5"/>
      <c r="M362" s="5"/>
    </row>
    <row r="363">
      <c r="A363" s="108"/>
      <c r="B363" s="108"/>
      <c r="C363" s="5"/>
      <c r="D363" s="5"/>
      <c r="E363" s="5"/>
      <c r="F363" s="5"/>
      <c r="G363" s="5"/>
      <c r="H363" s="5"/>
      <c r="I363" s="5"/>
      <c r="J363" s="5"/>
      <c r="K363" s="5"/>
      <c r="L363" s="5"/>
      <c r="M363" s="5"/>
    </row>
    <row r="364">
      <c r="A364" s="108"/>
      <c r="B364" s="108"/>
      <c r="C364" s="5"/>
      <c r="D364" s="5"/>
      <c r="E364" s="5"/>
      <c r="F364" s="5"/>
      <c r="G364" s="5"/>
      <c r="H364" s="5"/>
      <c r="I364" s="5"/>
      <c r="J364" s="5"/>
      <c r="K364" s="5"/>
      <c r="L364" s="5"/>
      <c r="M364" s="5"/>
    </row>
    <row r="365">
      <c r="A365" s="108"/>
      <c r="B365" s="108"/>
      <c r="C365" s="5"/>
      <c r="D365" s="5"/>
      <c r="E365" s="5"/>
      <c r="F365" s="5"/>
      <c r="G365" s="5"/>
      <c r="H365" s="5"/>
      <c r="I365" s="5"/>
      <c r="J365" s="5"/>
      <c r="K365" s="5"/>
      <c r="L365" s="5"/>
      <c r="M365" s="5"/>
    </row>
    <row r="366">
      <c r="A366" s="108"/>
      <c r="B366" s="108"/>
      <c r="C366" s="5"/>
      <c r="D366" s="5"/>
      <c r="E366" s="5"/>
      <c r="F366" s="5"/>
      <c r="G366" s="5"/>
      <c r="H366" s="5"/>
      <c r="I366" s="5"/>
      <c r="J366" s="5"/>
      <c r="K366" s="5"/>
      <c r="L366" s="5"/>
      <c r="M366" s="5"/>
    </row>
    <row r="367">
      <c r="A367" s="108"/>
      <c r="B367" s="108"/>
      <c r="C367" s="5"/>
      <c r="D367" s="5"/>
      <c r="E367" s="5"/>
      <c r="F367" s="5"/>
      <c r="G367" s="5"/>
      <c r="H367" s="5"/>
      <c r="I367" s="5"/>
      <c r="J367" s="5"/>
      <c r="K367" s="5"/>
      <c r="L367" s="5"/>
      <c r="M367" s="5"/>
    </row>
    <row r="368">
      <c r="A368" s="108"/>
      <c r="B368" s="108"/>
      <c r="C368" s="5"/>
      <c r="D368" s="5"/>
      <c r="E368" s="5"/>
      <c r="F368" s="5"/>
      <c r="G368" s="5"/>
      <c r="H368" s="5"/>
      <c r="I368" s="5"/>
      <c r="J368" s="5"/>
      <c r="K368" s="5"/>
      <c r="L368" s="5"/>
      <c r="M368" s="5"/>
    </row>
    <row r="369">
      <c r="A369" s="108"/>
      <c r="B369" s="108"/>
      <c r="C369" s="5"/>
      <c r="D369" s="5"/>
      <c r="E369" s="5"/>
      <c r="F369" s="5"/>
      <c r="G369" s="5"/>
      <c r="H369" s="5"/>
      <c r="I369" s="5"/>
      <c r="J369" s="5"/>
      <c r="K369" s="5"/>
      <c r="L369" s="5"/>
      <c r="M369" s="5"/>
    </row>
    <row r="370">
      <c r="A370" s="108"/>
      <c r="B370" s="108"/>
      <c r="C370" s="5"/>
      <c r="D370" s="5"/>
      <c r="E370" s="5"/>
      <c r="F370" s="5"/>
      <c r="G370" s="5"/>
      <c r="H370" s="5"/>
      <c r="I370" s="5"/>
      <c r="J370" s="5"/>
      <c r="K370" s="5"/>
      <c r="L370" s="5"/>
      <c r="M370" s="5"/>
    </row>
    <row r="371">
      <c r="A371" s="108"/>
      <c r="B371" s="108"/>
      <c r="C371" s="5"/>
      <c r="D371" s="5"/>
      <c r="E371" s="5"/>
      <c r="F371" s="5"/>
      <c r="G371" s="5"/>
      <c r="H371" s="5"/>
      <c r="I371" s="5"/>
      <c r="J371" s="5"/>
      <c r="K371" s="5"/>
      <c r="L371" s="5"/>
      <c r="M371" s="5"/>
    </row>
    <row r="372">
      <c r="A372" s="108"/>
      <c r="B372" s="108"/>
      <c r="C372" s="5"/>
      <c r="D372" s="5"/>
      <c r="E372" s="5"/>
      <c r="F372" s="5"/>
      <c r="G372" s="5"/>
      <c r="H372" s="5"/>
      <c r="I372" s="5"/>
      <c r="J372" s="5"/>
      <c r="K372" s="5"/>
      <c r="L372" s="5"/>
      <c r="M372" s="5"/>
    </row>
    <row r="373">
      <c r="A373" s="108"/>
      <c r="B373" s="108"/>
      <c r="C373" s="5"/>
      <c r="D373" s="5"/>
      <c r="E373" s="5"/>
      <c r="F373" s="5"/>
      <c r="G373" s="5"/>
      <c r="H373" s="5"/>
      <c r="I373" s="5"/>
      <c r="J373" s="5"/>
      <c r="K373" s="5"/>
      <c r="L373" s="5"/>
      <c r="M373" s="5"/>
    </row>
    <row r="374">
      <c r="A374" s="108"/>
      <c r="B374" s="108"/>
      <c r="C374" s="5"/>
      <c r="D374" s="5"/>
      <c r="E374" s="5"/>
      <c r="F374" s="5"/>
      <c r="G374" s="5"/>
      <c r="H374" s="5"/>
      <c r="I374" s="5"/>
      <c r="J374" s="5"/>
      <c r="K374" s="5"/>
      <c r="L374" s="5"/>
      <c r="M374" s="5"/>
    </row>
    <row r="375">
      <c r="A375" s="108"/>
      <c r="B375" s="108"/>
      <c r="C375" s="5"/>
      <c r="D375" s="5"/>
      <c r="E375" s="5"/>
      <c r="F375" s="5"/>
      <c r="G375" s="5"/>
      <c r="H375" s="5"/>
      <c r="I375" s="5"/>
      <c r="J375" s="5"/>
      <c r="K375" s="5"/>
      <c r="L375" s="5"/>
      <c r="M375" s="5"/>
    </row>
    <row r="376">
      <c r="A376" s="108"/>
      <c r="B376" s="108"/>
      <c r="C376" s="5"/>
      <c r="D376" s="5"/>
      <c r="E376" s="5"/>
      <c r="F376" s="5"/>
      <c r="G376" s="5"/>
      <c r="H376" s="5"/>
      <c r="I376" s="5"/>
      <c r="J376" s="5"/>
      <c r="K376" s="5"/>
      <c r="L376" s="5"/>
      <c r="M376" s="5"/>
    </row>
    <row r="377">
      <c r="A377" s="108"/>
      <c r="B377" s="108"/>
      <c r="C377" s="5"/>
      <c r="D377" s="5"/>
      <c r="E377" s="5"/>
      <c r="F377" s="5"/>
      <c r="G377" s="5"/>
      <c r="H377" s="5"/>
      <c r="I377" s="5"/>
      <c r="J377" s="5"/>
      <c r="K377" s="5"/>
      <c r="L377" s="5"/>
      <c r="M377" s="5"/>
    </row>
    <row r="378">
      <c r="A378" s="108"/>
      <c r="B378" s="108"/>
      <c r="C378" s="5"/>
      <c r="D378" s="5"/>
      <c r="E378" s="5"/>
      <c r="F378" s="5"/>
      <c r="G378" s="5"/>
      <c r="H378" s="5"/>
      <c r="I378" s="5"/>
      <c r="J378" s="5"/>
      <c r="K378" s="5"/>
      <c r="L378" s="5"/>
      <c r="M378" s="5"/>
    </row>
    <row r="379">
      <c r="A379" s="108"/>
      <c r="B379" s="108"/>
      <c r="C379" s="5"/>
      <c r="D379" s="5"/>
      <c r="E379" s="5"/>
      <c r="F379" s="5"/>
      <c r="G379" s="5"/>
      <c r="H379" s="5"/>
      <c r="I379" s="5"/>
      <c r="J379" s="5"/>
      <c r="K379" s="5"/>
      <c r="L379" s="5"/>
      <c r="M379" s="5"/>
    </row>
    <row r="380">
      <c r="A380" s="108"/>
      <c r="B380" s="108"/>
      <c r="C380" s="5"/>
      <c r="D380" s="5"/>
      <c r="E380" s="5"/>
      <c r="F380" s="5"/>
      <c r="G380" s="5"/>
      <c r="H380" s="5"/>
      <c r="I380" s="5"/>
      <c r="J380" s="5"/>
      <c r="K380" s="5"/>
      <c r="L380" s="5"/>
      <c r="M380" s="5"/>
    </row>
    <row r="381">
      <c r="A381" s="108"/>
      <c r="B381" s="108"/>
      <c r="C381" s="5"/>
      <c r="D381" s="5"/>
      <c r="E381" s="5"/>
      <c r="F381" s="5"/>
      <c r="G381" s="5"/>
      <c r="H381" s="5"/>
      <c r="I381" s="5"/>
      <c r="J381" s="5"/>
      <c r="K381" s="5"/>
      <c r="L381" s="5"/>
      <c r="M381" s="5"/>
    </row>
    <row r="382">
      <c r="A382" s="108"/>
      <c r="B382" s="108"/>
      <c r="C382" s="5"/>
      <c r="D382" s="5"/>
      <c r="E382" s="5"/>
      <c r="F382" s="5"/>
      <c r="G382" s="5"/>
      <c r="H382" s="5"/>
      <c r="I382" s="5"/>
      <c r="J382" s="5"/>
      <c r="K382" s="5"/>
      <c r="L382" s="5"/>
      <c r="M382" s="5"/>
    </row>
    <row r="383">
      <c r="A383" s="108"/>
      <c r="B383" s="108"/>
      <c r="C383" s="5"/>
      <c r="D383" s="5"/>
      <c r="E383" s="5"/>
      <c r="F383" s="5"/>
      <c r="G383" s="5"/>
      <c r="H383" s="5"/>
      <c r="I383" s="5"/>
      <c r="J383" s="5"/>
      <c r="K383" s="5"/>
      <c r="L383" s="5"/>
      <c r="M383" s="5"/>
    </row>
    <row r="384">
      <c r="A384" s="108"/>
      <c r="B384" s="108"/>
      <c r="C384" s="5"/>
      <c r="D384" s="5"/>
      <c r="E384" s="5"/>
      <c r="F384" s="5"/>
      <c r="G384" s="5"/>
      <c r="H384" s="5"/>
      <c r="I384" s="5"/>
      <c r="J384" s="5"/>
      <c r="K384" s="5"/>
      <c r="L384" s="5"/>
      <c r="M384" s="5"/>
    </row>
    <row r="385">
      <c r="A385" s="108"/>
      <c r="B385" s="108"/>
      <c r="C385" s="5"/>
      <c r="D385" s="5"/>
      <c r="E385" s="5"/>
      <c r="F385" s="5"/>
      <c r="G385" s="5"/>
      <c r="H385" s="5"/>
      <c r="I385" s="5"/>
      <c r="J385" s="5"/>
      <c r="K385" s="5"/>
      <c r="L385" s="5"/>
      <c r="M385" s="5"/>
    </row>
    <row r="386">
      <c r="A386" s="108"/>
      <c r="B386" s="108"/>
      <c r="C386" s="5"/>
      <c r="D386" s="5"/>
      <c r="E386" s="5"/>
      <c r="F386" s="5"/>
      <c r="G386" s="5"/>
      <c r="H386" s="5"/>
      <c r="I386" s="5"/>
      <c r="J386" s="5"/>
      <c r="K386" s="5"/>
      <c r="L386" s="5"/>
      <c r="M386" s="5"/>
    </row>
    <row r="387">
      <c r="A387" s="108"/>
      <c r="B387" s="108"/>
      <c r="C387" s="5"/>
      <c r="D387" s="5"/>
      <c r="E387" s="5"/>
      <c r="F387" s="5"/>
      <c r="G387" s="5"/>
      <c r="H387" s="5"/>
      <c r="I387" s="5"/>
      <c r="J387" s="5"/>
      <c r="K387" s="5"/>
      <c r="L387" s="5"/>
      <c r="M387" s="5"/>
    </row>
    <row r="388">
      <c r="A388" s="108"/>
      <c r="B388" s="108"/>
      <c r="C388" s="5"/>
      <c r="D388" s="5"/>
      <c r="E388" s="5"/>
      <c r="F388" s="5"/>
      <c r="G388" s="5"/>
      <c r="H388" s="5"/>
      <c r="I388" s="5"/>
      <c r="J388" s="5"/>
      <c r="K388" s="5"/>
      <c r="L388" s="5"/>
      <c r="M388" s="5"/>
    </row>
    <row r="389">
      <c r="A389" s="108"/>
      <c r="B389" s="108"/>
      <c r="C389" s="5"/>
      <c r="D389" s="5"/>
      <c r="E389" s="5"/>
      <c r="F389" s="5"/>
      <c r="G389" s="5"/>
      <c r="H389" s="5"/>
      <c r="I389" s="5"/>
      <c r="J389" s="5"/>
      <c r="K389" s="5"/>
      <c r="L389" s="5"/>
      <c r="M389" s="5"/>
    </row>
    <row r="390">
      <c r="A390" s="108"/>
      <c r="B390" s="108"/>
      <c r="C390" s="5"/>
      <c r="D390" s="5"/>
      <c r="E390" s="5"/>
      <c r="F390" s="5"/>
      <c r="G390" s="5"/>
      <c r="H390" s="5"/>
      <c r="I390" s="5"/>
      <c r="J390" s="5"/>
      <c r="K390" s="5"/>
      <c r="L390" s="5"/>
      <c r="M390" s="5"/>
    </row>
    <row r="391">
      <c r="A391" s="108"/>
      <c r="B391" s="108"/>
      <c r="C391" s="5"/>
      <c r="D391" s="5"/>
      <c r="E391" s="5"/>
      <c r="F391" s="5"/>
      <c r="G391" s="5"/>
      <c r="H391" s="5"/>
      <c r="I391" s="5"/>
      <c r="J391" s="5"/>
      <c r="K391" s="5"/>
      <c r="L391" s="5"/>
      <c r="M391" s="5"/>
    </row>
    <row r="392">
      <c r="A392" s="108"/>
      <c r="B392" s="108"/>
      <c r="C392" s="5"/>
      <c r="D392" s="5"/>
      <c r="E392" s="5"/>
      <c r="F392" s="5"/>
      <c r="G392" s="5"/>
      <c r="H392" s="5"/>
      <c r="I392" s="5"/>
      <c r="J392" s="5"/>
      <c r="K392" s="5"/>
      <c r="L392" s="5"/>
      <c r="M392" s="5"/>
    </row>
    <row r="393">
      <c r="A393" s="108"/>
      <c r="B393" s="108"/>
      <c r="C393" s="5"/>
      <c r="D393" s="5"/>
      <c r="E393" s="5"/>
      <c r="F393" s="5"/>
      <c r="G393" s="5"/>
      <c r="H393" s="5"/>
      <c r="I393" s="5"/>
      <c r="J393" s="5"/>
      <c r="K393" s="5"/>
      <c r="L393" s="5"/>
      <c r="M393" s="5"/>
    </row>
    <row r="394">
      <c r="A394" s="108"/>
      <c r="B394" s="108"/>
      <c r="C394" s="5"/>
      <c r="D394" s="5"/>
      <c r="E394" s="5"/>
      <c r="F394" s="5"/>
      <c r="G394" s="5"/>
      <c r="H394" s="5"/>
      <c r="I394" s="5"/>
      <c r="J394" s="5"/>
      <c r="K394" s="5"/>
      <c r="L394" s="5"/>
      <c r="M394" s="5"/>
    </row>
    <row r="395">
      <c r="A395" s="108"/>
      <c r="B395" s="108"/>
      <c r="C395" s="5"/>
      <c r="D395" s="5"/>
      <c r="E395" s="5"/>
      <c r="F395" s="5"/>
      <c r="G395" s="5"/>
      <c r="H395" s="5"/>
      <c r="I395" s="5"/>
      <c r="J395" s="5"/>
      <c r="K395" s="5"/>
      <c r="L395" s="5"/>
      <c r="M395" s="5"/>
    </row>
    <row r="396">
      <c r="A396" s="108"/>
      <c r="B396" s="108"/>
      <c r="C396" s="5"/>
      <c r="D396" s="5"/>
      <c r="E396" s="5"/>
      <c r="F396" s="5"/>
      <c r="G396" s="5"/>
      <c r="H396" s="5"/>
      <c r="I396" s="5"/>
      <c r="J396" s="5"/>
      <c r="K396" s="5"/>
      <c r="L396" s="5"/>
      <c r="M396" s="5"/>
    </row>
    <row r="397">
      <c r="A397" s="108"/>
      <c r="B397" s="108"/>
      <c r="C397" s="5"/>
      <c r="D397" s="5"/>
      <c r="E397" s="5"/>
      <c r="F397" s="5"/>
      <c r="G397" s="5"/>
      <c r="H397" s="5"/>
      <c r="I397" s="5"/>
      <c r="J397" s="5"/>
      <c r="K397" s="5"/>
      <c r="L397" s="5"/>
      <c r="M397" s="5"/>
    </row>
    <row r="398">
      <c r="A398" s="108"/>
      <c r="B398" s="108"/>
      <c r="C398" s="5"/>
      <c r="D398" s="5"/>
      <c r="E398" s="5"/>
      <c r="F398" s="5"/>
      <c r="G398" s="5"/>
      <c r="H398" s="5"/>
      <c r="I398" s="5"/>
      <c r="J398" s="5"/>
      <c r="K398" s="5"/>
      <c r="L398" s="5"/>
      <c r="M398" s="5"/>
    </row>
    <row r="399">
      <c r="A399" s="108"/>
      <c r="B399" s="108"/>
      <c r="C399" s="5"/>
      <c r="D399" s="5"/>
      <c r="E399" s="5"/>
      <c r="F399" s="5"/>
      <c r="G399" s="5"/>
      <c r="H399" s="5"/>
      <c r="I399" s="5"/>
      <c r="J399" s="5"/>
      <c r="K399" s="5"/>
      <c r="L399" s="5"/>
      <c r="M399" s="5"/>
    </row>
    <row r="400">
      <c r="A400" s="108"/>
      <c r="B400" s="108"/>
      <c r="C400" s="5"/>
      <c r="D400" s="5"/>
      <c r="E400" s="5"/>
      <c r="F400" s="5"/>
      <c r="G400" s="5"/>
      <c r="H400" s="5"/>
      <c r="I400" s="5"/>
      <c r="J400" s="5"/>
      <c r="K400" s="5"/>
      <c r="L400" s="5"/>
      <c r="M400" s="5"/>
    </row>
    <row r="401">
      <c r="A401" s="108"/>
      <c r="B401" s="108"/>
      <c r="C401" s="5"/>
      <c r="D401" s="5"/>
      <c r="E401" s="5"/>
      <c r="F401" s="5"/>
      <c r="G401" s="5"/>
      <c r="H401" s="5"/>
      <c r="I401" s="5"/>
      <c r="J401" s="5"/>
      <c r="K401" s="5"/>
      <c r="L401" s="5"/>
      <c r="M401" s="5"/>
    </row>
    <row r="402">
      <c r="A402" s="108"/>
      <c r="B402" s="108"/>
      <c r="C402" s="5"/>
      <c r="D402" s="5"/>
      <c r="E402" s="5"/>
      <c r="F402" s="5"/>
      <c r="G402" s="5"/>
      <c r="H402" s="5"/>
      <c r="I402" s="5"/>
      <c r="J402" s="5"/>
      <c r="K402" s="5"/>
      <c r="L402" s="5"/>
      <c r="M402" s="5"/>
    </row>
    <row r="403">
      <c r="A403" s="108"/>
      <c r="B403" s="108"/>
      <c r="C403" s="5"/>
      <c r="D403" s="5"/>
      <c r="E403" s="5"/>
      <c r="F403" s="5"/>
      <c r="G403" s="5"/>
      <c r="H403" s="5"/>
      <c r="I403" s="5"/>
      <c r="J403" s="5"/>
      <c r="K403" s="5"/>
      <c r="L403" s="5"/>
      <c r="M403" s="5"/>
    </row>
    <row r="404">
      <c r="A404" s="108"/>
      <c r="B404" s="108"/>
      <c r="C404" s="5"/>
      <c r="D404" s="5"/>
      <c r="E404" s="5"/>
      <c r="F404" s="5"/>
      <c r="G404" s="5"/>
      <c r="H404" s="5"/>
      <c r="I404" s="5"/>
      <c r="J404" s="5"/>
      <c r="K404" s="5"/>
      <c r="L404" s="5"/>
      <c r="M404" s="5"/>
    </row>
    <row r="405">
      <c r="A405" s="108"/>
      <c r="B405" s="108"/>
      <c r="C405" s="5"/>
      <c r="D405" s="5"/>
      <c r="E405" s="5"/>
      <c r="F405" s="5"/>
      <c r="G405" s="5"/>
      <c r="H405" s="5"/>
      <c r="I405" s="5"/>
      <c r="J405" s="5"/>
      <c r="K405" s="5"/>
      <c r="L405" s="5"/>
      <c r="M405" s="5"/>
    </row>
    <row r="406">
      <c r="A406" s="108"/>
      <c r="B406" s="108"/>
      <c r="C406" s="5"/>
      <c r="D406" s="5"/>
      <c r="E406" s="5"/>
      <c r="F406" s="5"/>
      <c r="G406" s="5"/>
      <c r="H406" s="5"/>
      <c r="I406" s="5"/>
      <c r="J406" s="5"/>
      <c r="K406" s="5"/>
      <c r="L406" s="5"/>
      <c r="M406" s="5"/>
    </row>
    <row r="407">
      <c r="A407" s="108"/>
      <c r="B407" s="108"/>
      <c r="C407" s="5"/>
      <c r="D407" s="5"/>
      <c r="E407" s="5"/>
      <c r="F407" s="5"/>
      <c r="G407" s="5"/>
      <c r="H407" s="5"/>
      <c r="I407" s="5"/>
      <c r="J407" s="5"/>
      <c r="K407" s="5"/>
      <c r="L407" s="5"/>
      <c r="M407" s="5"/>
    </row>
    <row r="408">
      <c r="A408" s="108"/>
      <c r="B408" s="108"/>
      <c r="C408" s="5"/>
      <c r="D408" s="5"/>
      <c r="E408" s="5"/>
      <c r="F408" s="5"/>
      <c r="G408" s="5"/>
      <c r="H408" s="5"/>
      <c r="I408" s="5"/>
      <c r="J408" s="5"/>
      <c r="K408" s="5"/>
      <c r="L408" s="5"/>
      <c r="M408" s="5"/>
    </row>
    <row r="409">
      <c r="A409" s="108"/>
      <c r="B409" s="108"/>
      <c r="C409" s="5"/>
      <c r="D409" s="5"/>
      <c r="E409" s="5"/>
      <c r="F409" s="5"/>
      <c r="G409" s="5"/>
      <c r="H409" s="5"/>
      <c r="I409" s="5"/>
      <c r="J409" s="5"/>
      <c r="K409" s="5"/>
      <c r="L409" s="5"/>
      <c r="M409" s="5"/>
    </row>
    <row r="410">
      <c r="A410" s="108"/>
      <c r="B410" s="108"/>
      <c r="C410" s="5"/>
      <c r="D410" s="5"/>
      <c r="E410" s="5"/>
      <c r="F410" s="5"/>
      <c r="G410" s="5"/>
      <c r="H410" s="5"/>
      <c r="I410" s="5"/>
      <c r="J410" s="5"/>
      <c r="K410" s="5"/>
      <c r="L410" s="5"/>
      <c r="M410" s="5"/>
    </row>
    <row r="411">
      <c r="A411" s="108"/>
      <c r="B411" s="108"/>
      <c r="C411" s="5"/>
      <c r="D411" s="5"/>
      <c r="E411" s="5"/>
      <c r="F411" s="5"/>
      <c r="G411" s="5"/>
      <c r="H411" s="5"/>
      <c r="I411" s="5"/>
      <c r="J411" s="5"/>
      <c r="K411" s="5"/>
      <c r="L411" s="5"/>
      <c r="M411" s="5"/>
    </row>
    <row r="412">
      <c r="A412" s="108"/>
      <c r="B412" s="108"/>
      <c r="C412" s="5"/>
      <c r="D412" s="5"/>
      <c r="E412" s="5"/>
      <c r="F412" s="5"/>
      <c r="G412" s="5"/>
      <c r="H412" s="5"/>
      <c r="I412" s="5"/>
      <c r="J412" s="5"/>
      <c r="K412" s="5"/>
      <c r="L412" s="5"/>
      <c r="M412" s="5"/>
    </row>
    <row r="413">
      <c r="A413" s="108"/>
      <c r="B413" s="108"/>
      <c r="C413" s="5"/>
      <c r="D413" s="5"/>
      <c r="E413" s="5"/>
      <c r="F413" s="5"/>
      <c r="G413" s="5"/>
      <c r="H413" s="5"/>
      <c r="I413" s="5"/>
      <c r="J413" s="5"/>
      <c r="K413" s="5"/>
      <c r="L413" s="5"/>
      <c r="M413" s="5"/>
    </row>
    <row r="414">
      <c r="A414" s="108"/>
      <c r="B414" s="108"/>
      <c r="C414" s="5"/>
      <c r="D414" s="5"/>
      <c r="E414" s="5"/>
      <c r="F414" s="5"/>
      <c r="G414" s="5"/>
      <c r="H414" s="5"/>
      <c r="I414" s="5"/>
      <c r="J414" s="5"/>
      <c r="K414" s="5"/>
      <c r="L414" s="5"/>
      <c r="M414" s="5"/>
    </row>
    <row r="415">
      <c r="A415" s="108"/>
      <c r="B415" s="108"/>
      <c r="C415" s="5"/>
      <c r="D415" s="5"/>
      <c r="E415" s="5"/>
      <c r="F415" s="5"/>
      <c r="G415" s="5"/>
      <c r="H415" s="5"/>
      <c r="I415" s="5"/>
      <c r="J415" s="5"/>
      <c r="K415" s="5"/>
      <c r="L415" s="5"/>
      <c r="M415" s="5"/>
    </row>
    <row r="416">
      <c r="A416" s="108"/>
      <c r="B416" s="108"/>
      <c r="C416" s="5"/>
      <c r="D416" s="5"/>
      <c r="E416" s="5"/>
      <c r="F416" s="5"/>
      <c r="G416" s="5"/>
      <c r="H416" s="5"/>
      <c r="I416" s="5"/>
      <c r="J416" s="5"/>
      <c r="K416" s="5"/>
      <c r="L416" s="5"/>
      <c r="M416" s="5"/>
    </row>
    <row r="417">
      <c r="A417" s="108"/>
      <c r="B417" s="108"/>
      <c r="C417" s="5"/>
      <c r="D417" s="5"/>
      <c r="E417" s="5"/>
      <c r="F417" s="5"/>
      <c r="G417" s="5"/>
      <c r="H417" s="5"/>
      <c r="I417" s="5"/>
      <c r="J417" s="5"/>
      <c r="K417" s="5"/>
      <c r="L417" s="5"/>
      <c r="M417" s="5"/>
    </row>
    <row r="418">
      <c r="A418" s="108"/>
      <c r="B418" s="108"/>
      <c r="C418" s="5"/>
      <c r="D418" s="5"/>
      <c r="E418" s="5"/>
      <c r="F418" s="5"/>
      <c r="G418" s="5"/>
      <c r="H418" s="5"/>
      <c r="I418" s="5"/>
      <c r="J418" s="5"/>
      <c r="K418" s="5"/>
      <c r="L418" s="5"/>
      <c r="M418" s="5"/>
    </row>
    <row r="419">
      <c r="A419" s="108"/>
      <c r="B419" s="108"/>
      <c r="C419" s="5"/>
      <c r="D419" s="5"/>
      <c r="E419" s="5"/>
      <c r="F419" s="5"/>
      <c r="G419" s="5"/>
      <c r="H419" s="5"/>
      <c r="I419" s="5"/>
      <c r="J419" s="5"/>
      <c r="K419" s="5"/>
      <c r="L419" s="5"/>
      <c r="M419" s="5"/>
    </row>
    <row r="420">
      <c r="A420" s="108"/>
      <c r="B420" s="108"/>
      <c r="C420" s="5"/>
      <c r="D420" s="5"/>
      <c r="E420" s="5"/>
      <c r="F420" s="5"/>
      <c r="G420" s="5"/>
      <c r="H420" s="5"/>
      <c r="I420" s="5"/>
      <c r="J420" s="5"/>
      <c r="K420" s="5"/>
      <c r="L420" s="5"/>
      <c r="M420" s="5"/>
    </row>
    <row r="421">
      <c r="A421" s="108"/>
      <c r="B421" s="108"/>
      <c r="C421" s="5"/>
      <c r="D421" s="5"/>
      <c r="E421" s="5"/>
      <c r="F421" s="5"/>
      <c r="G421" s="5"/>
      <c r="H421" s="5"/>
      <c r="I421" s="5"/>
      <c r="J421" s="5"/>
      <c r="K421" s="5"/>
      <c r="L421" s="5"/>
      <c r="M421" s="5"/>
    </row>
    <row r="422">
      <c r="A422" s="108"/>
      <c r="B422" s="108"/>
      <c r="C422" s="5"/>
      <c r="D422" s="5"/>
      <c r="E422" s="5"/>
      <c r="F422" s="5"/>
      <c r="G422" s="5"/>
      <c r="H422" s="5"/>
      <c r="I422" s="5"/>
      <c r="J422" s="5"/>
      <c r="K422" s="5"/>
      <c r="L422" s="5"/>
      <c r="M422" s="5"/>
    </row>
    <row r="423">
      <c r="A423" s="108"/>
      <c r="B423" s="108"/>
      <c r="C423" s="5"/>
      <c r="D423" s="5"/>
      <c r="E423" s="5"/>
      <c r="F423" s="5"/>
      <c r="G423" s="5"/>
      <c r="H423" s="5"/>
      <c r="I423" s="5"/>
      <c r="J423" s="5"/>
      <c r="K423" s="5"/>
      <c r="L423" s="5"/>
      <c r="M423" s="5"/>
    </row>
    <row r="424">
      <c r="A424" s="108"/>
      <c r="B424" s="108"/>
      <c r="C424" s="5"/>
      <c r="D424" s="5"/>
      <c r="E424" s="5"/>
      <c r="F424" s="5"/>
      <c r="G424" s="5"/>
      <c r="H424" s="5"/>
      <c r="I424" s="5"/>
      <c r="J424" s="5"/>
      <c r="K424" s="5"/>
      <c r="L424" s="5"/>
      <c r="M424" s="5"/>
    </row>
    <row r="425">
      <c r="A425" s="108"/>
      <c r="B425" s="108"/>
      <c r="C425" s="5"/>
      <c r="D425" s="5"/>
      <c r="E425" s="5"/>
      <c r="F425" s="5"/>
      <c r="G425" s="5"/>
      <c r="H425" s="5"/>
      <c r="I425" s="5"/>
      <c r="J425" s="5"/>
      <c r="K425" s="5"/>
      <c r="L425" s="5"/>
      <c r="M425" s="5"/>
    </row>
    <row r="426">
      <c r="A426" s="108"/>
      <c r="B426" s="108"/>
      <c r="C426" s="5"/>
      <c r="D426" s="5"/>
      <c r="E426" s="5"/>
      <c r="F426" s="5"/>
      <c r="G426" s="5"/>
      <c r="H426" s="5"/>
      <c r="I426" s="5"/>
      <c r="J426" s="5"/>
      <c r="K426" s="5"/>
      <c r="L426" s="5"/>
      <c r="M426" s="5"/>
    </row>
    <row r="427">
      <c r="A427" s="108"/>
      <c r="B427" s="108"/>
      <c r="C427" s="5"/>
      <c r="D427" s="5"/>
      <c r="E427" s="5"/>
      <c r="F427" s="5"/>
      <c r="G427" s="5"/>
      <c r="H427" s="5"/>
      <c r="I427" s="5"/>
      <c r="J427" s="5"/>
      <c r="K427" s="5"/>
      <c r="L427" s="5"/>
      <c r="M427" s="5"/>
    </row>
    <row r="428">
      <c r="A428" s="108"/>
      <c r="B428" s="108"/>
      <c r="C428" s="5"/>
      <c r="D428" s="5"/>
      <c r="E428" s="5"/>
      <c r="F428" s="5"/>
      <c r="G428" s="5"/>
      <c r="H428" s="5"/>
      <c r="I428" s="5"/>
      <c r="J428" s="5"/>
      <c r="K428" s="5"/>
      <c r="L428" s="5"/>
      <c r="M428" s="5"/>
    </row>
    <row r="429">
      <c r="A429" s="108"/>
      <c r="B429" s="108"/>
      <c r="C429" s="5"/>
      <c r="D429" s="5"/>
      <c r="E429" s="5"/>
      <c r="F429" s="5"/>
      <c r="G429" s="5"/>
      <c r="H429" s="5"/>
      <c r="I429" s="5"/>
      <c r="J429" s="5"/>
      <c r="K429" s="5"/>
      <c r="L429" s="5"/>
      <c r="M429" s="5"/>
    </row>
    <row r="430">
      <c r="A430" s="108"/>
      <c r="B430" s="108"/>
      <c r="C430" s="5"/>
      <c r="D430" s="5"/>
      <c r="E430" s="5"/>
      <c r="F430" s="5"/>
      <c r="G430" s="5"/>
      <c r="H430" s="5"/>
      <c r="I430" s="5"/>
      <c r="J430" s="5"/>
      <c r="K430" s="5"/>
      <c r="L430" s="5"/>
      <c r="M430" s="5"/>
    </row>
    <row r="431">
      <c r="A431" s="108"/>
      <c r="B431" s="108"/>
      <c r="C431" s="5"/>
      <c r="D431" s="5"/>
      <c r="E431" s="5"/>
      <c r="F431" s="5"/>
      <c r="G431" s="5"/>
      <c r="H431" s="5"/>
      <c r="I431" s="5"/>
      <c r="J431" s="5"/>
      <c r="K431" s="5"/>
      <c r="L431" s="5"/>
      <c r="M431" s="5"/>
    </row>
    <row r="432">
      <c r="A432" s="108"/>
      <c r="B432" s="108"/>
      <c r="C432" s="5"/>
      <c r="D432" s="5"/>
      <c r="E432" s="5"/>
      <c r="F432" s="5"/>
      <c r="G432" s="5"/>
      <c r="H432" s="5"/>
      <c r="I432" s="5"/>
      <c r="J432" s="5"/>
      <c r="K432" s="5"/>
      <c r="L432" s="5"/>
      <c r="M432" s="5"/>
    </row>
    <row r="433">
      <c r="A433" s="108"/>
      <c r="B433" s="108"/>
      <c r="C433" s="5"/>
      <c r="D433" s="5"/>
      <c r="E433" s="5"/>
      <c r="F433" s="5"/>
      <c r="G433" s="5"/>
      <c r="H433" s="5"/>
      <c r="I433" s="5"/>
      <c r="J433" s="5"/>
      <c r="K433" s="5"/>
      <c r="L433" s="5"/>
      <c r="M433" s="5"/>
    </row>
    <row r="434">
      <c r="A434" s="108"/>
      <c r="B434" s="108"/>
      <c r="C434" s="5"/>
      <c r="D434" s="5"/>
      <c r="E434" s="5"/>
      <c r="F434" s="5"/>
      <c r="G434" s="5"/>
      <c r="H434" s="5"/>
      <c r="I434" s="5"/>
      <c r="J434" s="5"/>
      <c r="K434" s="5"/>
      <c r="L434" s="5"/>
      <c r="M434" s="5"/>
    </row>
    <row r="435">
      <c r="A435" s="108"/>
      <c r="B435" s="108"/>
      <c r="C435" s="5"/>
      <c r="D435" s="5"/>
      <c r="E435" s="5"/>
      <c r="F435" s="5"/>
      <c r="G435" s="5"/>
      <c r="H435" s="5"/>
      <c r="I435" s="5"/>
      <c r="J435" s="5"/>
      <c r="K435" s="5"/>
      <c r="L435" s="5"/>
      <c r="M435" s="5"/>
    </row>
    <row r="436">
      <c r="A436" s="108"/>
      <c r="B436" s="108"/>
      <c r="C436" s="5"/>
      <c r="D436" s="5"/>
      <c r="E436" s="5"/>
      <c r="F436" s="5"/>
      <c r="G436" s="5"/>
      <c r="H436" s="5"/>
      <c r="I436" s="5"/>
      <c r="J436" s="5"/>
      <c r="K436" s="5"/>
      <c r="L436" s="5"/>
      <c r="M436" s="5"/>
    </row>
    <row r="437">
      <c r="A437" s="108"/>
      <c r="B437" s="108"/>
      <c r="C437" s="5"/>
      <c r="D437" s="5"/>
      <c r="E437" s="5"/>
      <c r="F437" s="5"/>
      <c r="G437" s="5"/>
      <c r="H437" s="5"/>
      <c r="I437" s="5"/>
      <c r="J437" s="5"/>
      <c r="K437" s="5"/>
      <c r="L437" s="5"/>
      <c r="M437" s="5"/>
    </row>
    <row r="438">
      <c r="A438" s="108"/>
      <c r="B438" s="108"/>
      <c r="C438" s="5"/>
      <c r="D438" s="5"/>
      <c r="E438" s="5"/>
      <c r="F438" s="5"/>
      <c r="G438" s="5"/>
      <c r="H438" s="5"/>
      <c r="I438" s="5"/>
      <c r="J438" s="5"/>
      <c r="K438" s="5"/>
      <c r="L438" s="5"/>
      <c r="M438" s="5"/>
    </row>
    <row r="439">
      <c r="A439" s="108"/>
      <c r="B439" s="108"/>
      <c r="C439" s="5"/>
      <c r="D439" s="5"/>
      <c r="E439" s="5"/>
      <c r="F439" s="5"/>
      <c r="G439" s="5"/>
      <c r="H439" s="5"/>
      <c r="I439" s="5"/>
      <c r="J439" s="5"/>
      <c r="K439" s="5"/>
      <c r="L439" s="5"/>
      <c r="M439" s="5"/>
    </row>
    <row r="440">
      <c r="A440" s="108"/>
      <c r="B440" s="108"/>
      <c r="C440" s="5"/>
      <c r="D440" s="5"/>
      <c r="E440" s="5"/>
      <c r="F440" s="5"/>
      <c r="G440" s="5"/>
      <c r="H440" s="5"/>
      <c r="I440" s="5"/>
      <c r="J440" s="5"/>
      <c r="K440" s="5"/>
      <c r="L440" s="5"/>
      <c r="M440" s="5"/>
    </row>
    <row r="441">
      <c r="A441" s="108"/>
      <c r="B441" s="108"/>
      <c r="C441" s="5"/>
      <c r="D441" s="5"/>
      <c r="E441" s="5"/>
      <c r="F441" s="5"/>
      <c r="G441" s="5"/>
      <c r="H441" s="5"/>
      <c r="I441" s="5"/>
      <c r="J441" s="5"/>
      <c r="K441" s="5"/>
      <c r="L441" s="5"/>
      <c r="M441" s="5"/>
    </row>
    <row r="442">
      <c r="A442" s="108"/>
      <c r="B442" s="108"/>
      <c r="C442" s="5"/>
      <c r="D442" s="5"/>
      <c r="E442" s="5"/>
      <c r="F442" s="5"/>
      <c r="G442" s="5"/>
      <c r="H442" s="5"/>
      <c r="I442" s="5"/>
      <c r="J442" s="5"/>
      <c r="K442" s="5"/>
      <c r="L442" s="5"/>
      <c r="M442" s="5"/>
    </row>
    <row r="443">
      <c r="A443" s="108"/>
      <c r="B443" s="108"/>
      <c r="C443" s="5"/>
      <c r="D443" s="5"/>
      <c r="E443" s="5"/>
      <c r="F443" s="5"/>
      <c r="G443" s="5"/>
      <c r="H443" s="5"/>
      <c r="I443" s="5"/>
      <c r="J443" s="5"/>
      <c r="K443" s="5"/>
      <c r="L443" s="5"/>
      <c r="M443" s="5"/>
    </row>
    <row r="444">
      <c r="A444" s="108"/>
      <c r="B444" s="108"/>
      <c r="C444" s="5"/>
      <c r="D444" s="5"/>
      <c r="E444" s="5"/>
      <c r="F444" s="5"/>
      <c r="G444" s="5"/>
      <c r="H444" s="5"/>
      <c r="I444" s="5"/>
      <c r="J444" s="5"/>
      <c r="K444" s="5"/>
      <c r="L444" s="5"/>
      <c r="M444" s="5"/>
    </row>
    <row r="445">
      <c r="A445" s="108"/>
      <c r="B445" s="108"/>
      <c r="C445" s="5"/>
      <c r="D445" s="5"/>
      <c r="E445" s="5"/>
      <c r="F445" s="5"/>
      <c r="G445" s="5"/>
      <c r="H445" s="5"/>
      <c r="I445" s="5"/>
      <c r="J445" s="5"/>
      <c r="K445" s="5"/>
      <c r="L445" s="5"/>
      <c r="M445" s="5"/>
    </row>
    <row r="446">
      <c r="A446" s="108"/>
      <c r="B446" s="108"/>
      <c r="C446" s="5"/>
      <c r="D446" s="5"/>
      <c r="E446" s="5"/>
      <c r="F446" s="5"/>
      <c r="G446" s="5"/>
      <c r="H446" s="5"/>
      <c r="I446" s="5"/>
      <c r="J446" s="5"/>
      <c r="K446" s="5"/>
      <c r="L446" s="5"/>
      <c r="M446" s="5"/>
    </row>
    <row r="447">
      <c r="A447" s="108"/>
      <c r="B447" s="108"/>
      <c r="C447" s="5"/>
      <c r="D447" s="5"/>
      <c r="E447" s="5"/>
      <c r="F447" s="5"/>
      <c r="G447" s="5"/>
      <c r="H447" s="5"/>
      <c r="I447" s="5"/>
      <c r="J447" s="5"/>
      <c r="K447" s="5"/>
      <c r="L447" s="5"/>
      <c r="M447" s="5"/>
    </row>
    <row r="448">
      <c r="A448" s="108"/>
      <c r="B448" s="108"/>
      <c r="C448" s="5"/>
      <c r="D448" s="5"/>
      <c r="E448" s="5"/>
      <c r="F448" s="5"/>
      <c r="G448" s="5"/>
      <c r="H448" s="5"/>
      <c r="I448" s="5"/>
      <c r="J448" s="5"/>
      <c r="K448" s="5"/>
      <c r="L448" s="5"/>
      <c r="M448" s="5"/>
    </row>
    <row r="449">
      <c r="A449" s="108"/>
      <c r="B449" s="108"/>
      <c r="C449" s="5"/>
      <c r="D449" s="5"/>
      <c r="E449" s="5"/>
      <c r="F449" s="5"/>
      <c r="G449" s="5"/>
      <c r="H449" s="5"/>
      <c r="I449" s="5"/>
      <c r="J449" s="5"/>
      <c r="K449" s="5"/>
      <c r="L449" s="5"/>
      <c r="M449" s="5"/>
    </row>
    <row r="450">
      <c r="A450" s="108"/>
      <c r="B450" s="108"/>
      <c r="C450" s="5"/>
      <c r="D450" s="5"/>
      <c r="E450" s="5"/>
      <c r="F450" s="5"/>
      <c r="G450" s="5"/>
      <c r="H450" s="5"/>
      <c r="I450" s="5"/>
      <c r="J450" s="5"/>
      <c r="K450" s="5"/>
      <c r="L450" s="5"/>
      <c r="M450" s="5"/>
    </row>
    <row r="451">
      <c r="A451" s="108"/>
      <c r="B451" s="108"/>
      <c r="C451" s="5"/>
      <c r="D451" s="5"/>
      <c r="E451" s="5"/>
      <c r="F451" s="5"/>
      <c r="G451" s="5"/>
      <c r="H451" s="5"/>
      <c r="I451" s="5"/>
      <c r="J451" s="5"/>
      <c r="K451" s="5"/>
      <c r="L451" s="5"/>
      <c r="M451" s="5"/>
    </row>
    <row r="452">
      <c r="A452" s="108"/>
      <c r="B452" s="108"/>
      <c r="C452" s="5"/>
      <c r="D452" s="5"/>
      <c r="E452" s="5"/>
      <c r="F452" s="5"/>
      <c r="G452" s="5"/>
      <c r="H452" s="5"/>
      <c r="I452" s="5"/>
      <c r="J452" s="5"/>
      <c r="K452" s="5"/>
      <c r="L452" s="5"/>
      <c r="M452" s="5"/>
    </row>
    <row r="453">
      <c r="A453" s="108"/>
      <c r="B453" s="108"/>
      <c r="C453" s="5"/>
      <c r="D453" s="5"/>
      <c r="E453" s="5"/>
      <c r="F453" s="5"/>
      <c r="G453" s="5"/>
      <c r="H453" s="5"/>
      <c r="I453" s="5"/>
      <c r="J453" s="5"/>
      <c r="K453" s="5"/>
      <c r="L453" s="5"/>
      <c r="M453" s="5"/>
    </row>
    <row r="454">
      <c r="A454" s="108"/>
      <c r="B454" s="108"/>
      <c r="C454" s="5"/>
      <c r="D454" s="5"/>
      <c r="E454" s="5"/>
      <c r="F454" s="5"/>
      <c r="G454" s="5"/>
      <c r="H454" s="5"/>
      <c r="I454" s="5"/>
      <c r="J454" s="5"/>
      <c r="K454" s="5"/>
      <c r="L454" s="5"/>
      <c r="M454" s="5"/>
    </row>
    <row r="455">
      <c r="A455" s="108"/>
      <c r="B455" s="108"/>
      <c r="C455" s="5"/>
      <c r="D455" s="5"/>
      <c r="E455" s="5"/>
      <c r="F455" s="5"/>
      <c r="G455" s="5"/>
      <c r="H455" s="5"/>
      <c r="I455" s="5"/>
      <c r="J455" s="5"/>
      <c r="K455" s="5"/>
      <c r="L455" s="5"/>
      <c r="M455" s="5"/>
    </row>
    <row r="456">
      <c r="A456" s="108"/>
      <c r="B456" s="108"/>
      <c r="C456" s="5"/>
      <c r="D456" s="5"/>
      <c r="E456" s="5"/>
      <c r="F456" s="5"/>
      <c r="G456" s="5"/>
      <c r="H456" s="5"/>
      <c r="I456" s="5"/>
      <c r="J456" s="5"/>
      <c r="K456" s="5"/>
      <c r="L456" s="5"/>
      <c r="M456" s="5"/>
    </row>
    <row r="457">
      <c r="A457" s="108"/>
      <c r="B457" s="108"/>
      <c r="C457" s="5"/>
      <c r="D457" s="5"/>
      <c r="E457" s="5"/>
      <c r="F457" s="5"/>
      <c r="G457" s="5"/>
      <c r="H457" s="5"/>
      <c r="I457" s="5"/>
      <c r="J457" s="5"/>
      <c r="K457" s="5"/>
      <c r="L457" s="5"/>
      <c r="M457" s="5"/>
    </row>
    <row r="458">
      <c r="A458" s="108"/>
      <c r="B458" s="108"/>
      <c r="C458" s="5"/>
      <c r="D458" s="5"/>
      <c r="E458" s="5"/>
      <c r="F458" s="5"/>
      <c r="G458" s="5"/>
      <c r="H458" s="5"/>
      <c r="I458" s="5"/>
      <c r="J458" s="5"/>
      <c r="K458" s="5"/>
      <c r="L458" s="5"/>
      <c r="M458" s="5"/>
    </row>
    <row r="459">
      <c r="A459" s="108"/>
      <c r="B459" s="108"/>
      <c r="C459" s="5"/>
      <c r="D459" s="5"/>
      <c r="E459" s="5"/>
      <c r="F459" s="5"/>
      <c r="G459" s="5"/>
      <c r="H459" s="5"/>
      <c r="I459" s="5"/>
      <c r="J459" s="5"/>
      <c r="K459" s="5"/>
      <c r="L459" s="5"/>
      <c r="M459" s="5"/>
    </row>
    <row r="460">
      <c r="A460" s="108"/>
      <c r="B460" s="108"/>
      <c r="C460" s="5"/>
      <c r="D460" s="5"/>
      <c r="E460" s="5"/>
      <c r="F460" s="5"/>
      <c r="G460" s="5"/>
      <c r="H460" s="5"/>
      <c r="I460" s="5"/>
      <c r="J460" s="5"/>
      <c r="K460" s="5"/>
      <c r="L460" s="5"/>
      <c r="M460" s="5"/>
    </row>
    <row r="461">
      <c r="A461" s="108"/>
      <c r="B461" s="108"/>
      <c r="C461" s="5"/>
      <c r="D461" s="5"/>
      <c r="E461" s="5"/>
      <c r="F461" s="5"/>
      <c r="G461" s="5"/>
      <c r="H461" s="5"/>
      <c r="I461" s="5"/>
      <c r="J461" s="5"/>
      <c r="K461" s="5"/>
      <c r="L461" s="5"/>
      <c r="M461" s="5"/>
    </row>
    <row r="462">
      <c r="A462" s="108"/>
      <c r="B462" s="108"/>
      <c r="C462" s="5"/>
      <c r="D462" s="5"/>
      <c r="E462" s="5"/>
      <c r="F462" s="5"/>
      <c r="G462" s="5"/>
      <c r="H462" s="5"/>
      <c r="I462" s="5"/>
      <c r="J462" s="5"/>
      <c r="K462" s="5"/>
      <c r="L462" s="5"/>
      <c r="M462" s="5"/>
    </row>
    <row r="463">
      <c r="A463" s="108"/>
      <c r="B463" s="108"/>
      <c r="C463" s="5"/>
      <c r="D463" s="5"/>
      <c r="E463" s="5"/>
      <c r="F463" s="5"/>
      <c r="G463" s="5"/>
      <c r="H463" s="5"/>
      <c r="I463" s="5"/>
      <c r="J463" s="5"/>
      <c r="K463" s="5"/>
      <c r="L463" s="5"/>
      <c r="M463" s="5"/>
    </row>
    <row r="464">
      <c r="A464" s="108"/>
      <c r="B464" s="108"/>
      <c r="C464" s="5"/>
      <c r="D464" s="5"/>
      <c r="E464" s="5"/>
      <c r="F464" s="5"/>
      <c r="G464" s="5"/>
      <c r="H464" s="5"/>
      <c r="I464" s="5"/>
      <c r="J464" s="5"/>
      <c r="K464" s="5"/>
      <c r="L464" s="5"/>
      <c r="M464" s="5"/>
    </row>
    <row r="465">
      <c r="A465" s="108"/>
      <c r="B465" s="108"/>
      <c r="C465" s="5"/>
      <c r="D465" s="5"/>
      <c r="E465" s="5"/>
      <c r="F465" s="5"/>
      <c r="G465" s="5"/>
      <c r="H465" s="5"/>
      <c r="I465" s="5"/>
      <c r="J465" s="5"/>
      <c r="K465" s="5"/>
      <c r="L465" s="5"/>
      <c r="M465" s="5"/>
    </row>
    <row r="466">
      <c r="A466" s="108"/>
      <c r="B466" s="108"/>
      <c r="C466" s="5"/>
      <c r="D466" s="5"/>
      <c r="E466" s="5"/>
      <c r="F466" s="5"/>
      <c r="G466" s="5"/>
      <c r="H466" s="5"/>
      <c r="I466" s="5"/>
      <c r="J466" s="5"/>
      <c r="K466" s="5"/>
      <c r="L466" s="5"/>
      <c r="M466" s="5"/>
    </row>
    <row r="467">
      <c r="A467" s="108"/>
      <c r="B467" s="108"/>
      <c r="C467" s="5"/>
      <c r="D467" s="5"/>
      <c r="E467" s="5"/>
      <c r="F467" s="5"/>
      <c r="G467" s="5"/>
      <c r="H467" s="5"/>
      <c r="I467" s="5"/>
      <c r="J467" s="5"/>
      <c r="K467" s="5"/>
      <c r="L467" s="5"/>
      <c r="M467" s="5"/>
    </row>
    <row r="468">
      <c r="A468" s="108"/>
      <c r="B468" s="108"/>
      <c r="C468" s="5"/>
      <c r="D468" s="5"/>
      <c r="E468" s="5"/>
      <c r="F468" s="5"/>
      <c r="G468" s="5"/>
      <c r="H468" s="5"/>
      <c r="I468" s="5"/>
      <c r="J468" s="5"/>
      <c r="K468" s="5"/>
      <c r="L468" s="5"/>
      <c r="M468" s="5"/>
    </row>
    <row r="469">
      <c r="A469" s="108"/>
      <c r="B469" s="108"/>
      <c r="C469" s="5"/>
      <c r="D469" s="5"/>
      <c r="E469" s="5"/>
      <c r="F469" s="5"/>
      <c r="G469" s="5"/>
      <c r="H469" s="5"/>
      <c r="I469" s="5"/>
      <c r="J469" s="5"/>
      <c r="K469" s="5"/>
      <c r="L469" s="5"/>
      <c r="M469" s="5"/>
    </row>
    <row r="470">
      <c r="A470" s="108"/>
      <c r="B470" s="108"/>
      <c r="C470" s="5"/>
      <c r="D470" s="5"/>
      <c r="E470" s="5"/>
      <c r="F470" s="5"/>
      <c r="G470" s="5"/>
      <c r="H470" s="5"/>
      <c r="I470" s="5"/>
      <c r="J470" s="5"/>
      <c r="K470" s="5"/>
      <c r="L470" s="5"/>
      <c r="M470" s="5"/>
    </row>
    <row r="471">
      <c r="A471" s="108"/>
      <c r="B471" s="108"/>
      <c r="C471" s="5"/>
      <c r="D471" s="5"/>
      <c r="E471" s="5"/>
      <c r="F471" s="5"/>
      <c r="G471" s="5"/>
      <c r="H471" s="5"/>
      <c r="I471" s="5"/>
      <c r="J471" s="5"/>
      <c r="K471" s="5"/>
      <c r="L471" s="5"/>
      <c r="M471" s="5"/>
    </row>
    <row r="472">
      <c r="A472" s="108"/>
      <c r="B472" s="108"/>
      <c r="C472" s="5"/>
      <c r="D472" s="5"/>
      <c r="E472" s="5"/>
      <c r="F472" s="5"/>
      <c r="G472" s="5"/>
      <c r="H472" s="5"/>
      <c r="I472" s="5"/>
      <c r="J472" s="5"/>
      <c r="K472" s="5"/>
      <c r="L472" s="5"/>
      <c r="M472" s="5"/>
    </row>
    <row r="473">
      <c r="A473" s="108"/>
      <c r="B473" s="108"/>
      <c r="C473" s="5"/>
      <c r="D473" s="5"/>
      <c r="E473" s="5"/>
      <c r="F473" s="5"/>
      <c r="G473" s="5"/>
      <c r="H473" s="5"/>
      <c r="I473" s="5"/>
      <c r="J473" s="5"/>
      <c r="K473" s="5"/>
      <c r="L473" s="5"/>
      <c r="M473" s="5"/>
    </row>
    <row r="474">
      <c r="A474" s="108"/>
      <c r="B474" s="108"/>
      <c r="C474" s="5"/>
      <c r="D474" s="5"/>
      <c r="E474" s="5"/>
      <c r="F474" s="5"/>
      <c r="G474" s="5"/>
      <c r="H474" s="5"/>
      <c r="I474" s="5"/>
      <c r="J474" s="5"/>
      <c r="K474" s="5"/>
      <c r="L474" s="5"/>
      <c r="M474" s="5"/>
    </row>
    <row r="475">
      <c r="A475" s="108"/>
      <c r="B475" s="108"/>
      <c r="C475" s="5"/>
      <c r="D475" s="5"/>
      <c r="E475" s="5"/>
      <c r="F475" s="5"/>
      <c r="G475" s="5"/>
      <c r="H475" s="5"/>
      <c r="I475" s="5"/>
      <c r="J475" s="5"/>
      <c r="K475" s="5"/>
      <c r="L475" s="5"/>
      <c r="M475" s="5"/>
    </row>
    <row r="476">
      <c r="A476" s="108"/>
      <c r="B476" s="108"/>
      <c r="C476" s="5"/>
      <c r="D476" s="5"/>
      <c r="E476" s="5"/>
      <c r="F476" s="5"/>
      <c r="G476" s="5"/>
      <c r="H476" s="5"/>
      <c r="I476" s="5"/>
      <c r="J476" s="5"/>
      <c r="K476" s="5"/>
      <c r="L476" s="5"/>
      <c r="M476" s="5"/>
    </row>
    <row r="477">
      <c r="A477" s="108"/>
      <c r="B477" s="108"/>
      <c r="C477" s="5"/>
      <c r="D477" s="5"/>
      <c r="E477" s="5"/>
      <c r="F477" s="5"/>
      <c r="G477" s="5"/>
      <c r="H477" s="5"/>
      <c r="I477" s="5"/>
      <c r="J477" s="5"/>
      <c r="K477" s="5"/>
      <c r="L477" s="5"/>
      <c r="M477" s="5"/>
    </row>
    <row r="478">
      <c r="A478" s="108"/>
      <c r="B478" s="108"/>
      <c r="C478" s="5"/>
      <c r="D478" s="5"/>
      <c r="E478" s="5"/>
      <c r="F478" s="5"/>
      <c r="G478" s="5"/>
      <c r="H478" s="5"/>
      <c r="I478" s="5"/>
      <c r="J478" s="5"/>
      <c r="K478" s="5"/>
      <c r="L478" s="5"/>
      <c r="M478" s="5"/>
    </row>
    <row r="479">
      <c r="A479" s="108"/>
      <c r="B479" s="108"/>
      <c r="C479" s="5"/>
      <c r="D479" s="5"/>
      <c r="E479" s="5"/>
      <c r="F479" s="5"/>
      <c r="G479" s="5"/>
      <c r="H479" s="5"/>
      <c r="I479" s="5"/>
      <c r="J479" s="5"/>
      <c r="K479" s="5"/>
      <c r="L479" s="5"/>
      <c r="M479" s="5"/>
    </row>
    <row r="480">
      <c r="A480" s="108"/>
      <c r="B480" s="108"/>
      <c r="C480" s="5"/>
      <c r="D480" s="5"/>
      <c r="E480" s="5"/>
      <c r="F480" s="5"/>
      <c r="G480" s="5"/>
      <c r="H480" s="5"/>
      <c r="I480" s="5"/>
      <c r="J480" s="5"/>
      <c r="K480" s="5"/>
      <c r="L480" s="5"/>
      <c r="M480" s="5"/>
    </row>
    <row r="481">
      <c r="A481" s="108"/>
      <c r="B481" s="108"/>
      <c r="C481" s="5"/>
      <c r="D481" s="5"/>
      <c r="E481" s="5"/>
      <c r="F481" s="5"/>
      <c r="G481" s="5"/>
      <c r="H481" s="5"/>
      <c r="I481" s="5"/>
      <c r="J481" s="5"/>
      <c r="K481" s="5"/>
      <c r="L481" s="5"/>
      <c r="M481" s="5"/>
    </row>
    <row r="482">
      <c r="A482" s="108"/>
      <c r="B482" s="108"/>
      <c r="C482" s="5"/>
      <c r="D482" s="5"/>
      <c r="E482" s="5"/>
      <c r="F482" s="5"/>
      <c r="G482" s="5"/>
      <c r="H482" s="5"/>
      <c r="I482" s="5"/>
      <c r="J482" s="5"/>
      <c r="K482" s="5"/>
      <c r="L482" s="5"/>
      <c r="M482" s="5"/>
    </row>
    <row r="483">
      <c r="A483" s="108"/>
      <c r="B483" s="108"/>
      <c r="C483" s="5"/>
      <c r="D483" s="5"/>
      <c r="E483" s="5"/>
      <c r="F483" s="5"/>
      <c r="G483" s="5"/>
      <c r="H483" s="5"/>
      <c r="I483" s="5"/>
      <c r="J483" s="5"/>
      <c r="K483" s="5"/>
      <c r="L483" s="5"/>
      <c r="M483" s="5"/>
    </row>
    <row r="484">
      <c r="A484" s="108"/>
      <c r="B484" s="108"/>
      <c r="C484" s="5"/>
      <c r="D484" s="5"/>
      <c r="E484" s="5"/>
      <c r="F484" s="5"/>
      <c r="G484" s="5"/>
      <c r="H484" s="5"/>
      <c r="I484" s="5"/>
      <c r="J484" s="5"/>
      <c r="K484" s="5"/>
      <c r="L484" s="5"/>
      <c r="M484" s="5"/>
    </row>
    <row r="485">
      <c r="A485" s="108"/>
      <c r="B485" s="108"/>
      <c r="C485" s="5"/>
      <c r="D485" s="5"/>
      <c r="E485" s="5"/>
      <c r="F485" s="5"/>
      <c r="G485" s="5"/>
      <c r="H485" s="5"/>
      <c r="I485" s="5"/>
      <c r="J485" s="5"/>
      <c r="K485" s="5"/>
      <c r="L485" s="5"/>
      <c r="M485" s="5"/>
    </row>
    <row r="486">
      <c r="A486" s="108"/>
      <c r="B486" s="108"/>
      <c r="C486" s="5"/>
      <c r="D486" s="5"/>
      <c r="E486" s="5"/>
      <c r="F486" s="5"/>
      <c r="G486" s="5"/>
      <c r="H486" s="5"/>
      <c r="I486" s="5"/>
      <c r="J486" s="5"/>
      <c r="K486" s="5"/>
      <c r="L486" s="5"/>
      <c r="M486" s="5"/>
    </row>
    <row r="487">
      <c r="A487" s="108"/>
      <c r="B487" s="108"/>
      <c r="C487" s="5"/>
      <c r="D487" s="5"/>
      <c r="E487" s="5"/>
      <c r="F487" s="5"/>
      <c r="G487" s="5"/>
      <c r="H487" s="5"/>
      <c r="I487" s="5"/>
      <c r="J487" s="5"/>
      <c r="K487" s="5"/>
      <c r="L487" s="5"/>
      <c r="M487" s="5"/>
    </row>
    <row r="488">
      <c r="A488" s="108"/>
      <c r="B488" s="108"/>
      <c r="C488" s="5"/>
      <c r="D488" s="5"/>
      <c r="E488" s="5"/>
      <c r="F488" s="5"/>
      <c r="G488" s="5"/>
      <c r="H488" s="5"/>
      <c r="I488" s="5"/>
      <c r="J488" s="5"/>
      <c r="K488" s="5"/>
      <c r="L488" s="5"/>
      <c r="M488" s="5"/>
    </row>
    <row r="489">
      <c r="A489" s="108"/>
      <c r="B489" s="108"/>
      <c r="C489" s="5"/>
      <c r="D489" s="5"/>
      <c r="E489" s="5"/>
      <c r="F489" s="5"/>
      <c r="G489" s="5"/>
      <c r="H489" s="5"/>
      <c r="I489" s="5"/>
      <c r="J489" s="5"/>
      <c r="K489" s="5"/>
      <c r="L489" s="5"/>
      <c r="M489" s="5"/>
    </row>
    <row r="490">
      <c r="A490" s="108"/>
      <c r="B490" s="108"/>
      <c r="C490" s="5"/>
      <c r="D490" s="5"/>
      <c r="E490" s="5"/>
      <c r="F490" s="5"/>
      <c r="G490" s="5"/>
      <c r="H490" s="5"/>
      <c r="I490" s="5"/>
      <c r="J490" s="5"/>
      <c r="K490" s="5"/>
      <c r="L490" s="5"/>
      <c r="M490" s="5"/>
    </row>
    <row r="491">
      <c r="A491" s="108"/>
      <c r="B491" s="108"/>
      <c r="C491" s="5"/>
      <c r="D491" s="5"/>
      <c r="E491" s="5"/>
      <c r="F491" s="5"/>
      <c r="G491" s="5"/>
      <c r="H491" s="5"/>
      <c r="I491" s="5"/>
      <c r="J491" s="5"/>
      <c r="K491" s="5"/>
      <c r="L491" s="5"/>
      <c r="M491" s="5"/>
    </row>
    <row r="492">
      <c r="A492" s="108"/>
      <c r="B492" s="108"/>
      <c r="C492" s="5"/>
      <c r="D492" s="5"/>
      <c r="E492" s="5"/>
      <c r="F492" s="5"/>
      <c r="G492" s="5"/>
      <c r="H492" s="5"/>
      <c r="I492" s="5"/>
      <c r="J492" s="5"/>
      <c r="K492" s="5"/>
      <c r="L492" s="5"/>
      <c r="M492" s="5"/>
    </row>
    <row r="493">
      <c r="A493" s="108"/>
      <c r="B493" s="108"/>
      <c r="C493" s="5"/>
      <c r="D493" s="5"/>
      <c r="E493" s="5"/>
      <c r="F493" s="5"/>
      <c r="G493" s="5"/>
      <c r="H493" s="5"/>
      <c r="I493" s="5"/>
      <c r="J493" s="5"/>
      <c r="K493" s="5"/>
      <c r="L493" s="5"/>
      <c r="M493" s="5"/>
    </row>
    <row r="494">
      <c r="A494" s="108"/>
      <c r="B494" s="108"/>
      <c r="C494" s="5"/>
      <c r="D494" s="5"/>
      <c r="E494" s="5"/>
      <c r="F494" s="5"/>
      <c r="G494" s="5"/>
      <c r="H494" s="5"/>
      <c r="I494" s="5"/>
      <c r="J494" s="5"/>
      <c r="K494" s="5"/>
      <c r="L494" s="5"/>
      <c r="M494" s="5"/>
    </row>
    <row r="495">
      <c r="A495" s="108"/>
      <c r="B495" s="108"/>
      <c r="C495" s="5"/>
      <c r="D495" s="5"/>
      <c r="E495" s="5"/>
      <c r="F495" s="5"/>
      <c r="G495" s="5"/>
      <c r="H495" s="5"/>
      <c r="I495" s="5"/>
      <c r="J495" s="5"/>
      <c r="K495" s="5"/>
      <c r="L495" s="5"/>
      <c r="M495" s="5"/>
    </row>
    <row r="496">
      <c r="A496" s="108"/>
      <c r="B496" s="108"/>
      <c r="C496" s="5"/>
      <c r="D496" s="5"/>
      <c r="E496" s="5"/>
      <c r="F496" s="5"/>
      <c r="G496" s="5"/>
      <c r="H496" s="5"/>
      <c r="I496" s="5"/>
      <c r="J496" s="5"/>
      <c r="K496" s="5"/>
      <c r="L496" s="5"/>
      <c r="M496" s="5"/>
    </row>
    <row r="497">
      <c r="A497" s="108"/>
      <c r="B497" s="108"/>
      <c r="C497" s="5"/>
      <c r="D497" s="5"/>
      <c r="E497" s="5"/>
      <c r="F497" s="5"/>
      <c r="G497" s="5"/>
      <c r="H497" s="5"/>
      <c r="I497" s="5"/>
      <c r="J497" s="5"/>
      <c r="K497" s="5"/>
      <c r="L497" s="5"/>
      <c r="M497" s="5"/>
    </row>
    <row r="498">
      <c r="A498" s="108"/>
      <c r="B498" s="108"/>
      <c r="C498" s="5"/>
      <c r="D498" s="5"/>
      <c r="E498" s="5"/>
      <c r="F498" s="5"/>
      <c r="G498" s="5"/>
      <c r="H498" s="5"/>
      <c r="I498" s="5"/>
      <c r="J498" s="5"/>
      <c r="K498" s="5"/>
      <c r="L498" s="5"/>
      <c r="M498" s="5"/>
    </row>
    <row r="499">
      <c r="A499" s="108"/>
      <c r="B499" s="108"/>
      <c r="C499" s="5"/>
      <c r="D499" s="5"/>
      <c r="E499" s="5"/>
      <c r="F499" s="5"/>
      <c r="G499" s="5"/>
      <c r="H499" s="5"/>
      <c r="I499" s="5"/>
      <c r="J499" s="5"/>
      <c r="K499" s="5"/>
      <c r="L499" s="5"/>
      <c r="M499" s="5"/>
    </row>
    <row r="500">
      <c r="A500" s="108"/>
      <c r="B500" s="108"/>
      <c r="C500" s="5"/>
      <c r="D500" s="5"/>
      <c r="E500" s="5"/>
      <c r="F500" s="5"/>
      <c r="G500" s="5"/>
      <c r="H500" s="5"/>
      <c r="I500" s="5"/>
      <c r="J500" s="5"/>
      <c r="K500" s="5"/>
      <c r="L500" s="5"/>
      <c r="M500" s="5"/>
    </row>
    <row r="501">
      <c r="A501" s="108"/>
      <c r="B501" s="108"/>
      <c r="C501" s="5"/>
      <c r="D501" s="5"/>
      <c r="E501" s="5"/>
      <c r="F501" s="5"/>
      <c r="G501" s="5"/>
      <c r="H501" s="5"/>
      <c r="I501" s="5"/>
      <c r="J501" s="5"/>
      <c r="K501" s="5"/>
      <c r="L501" s="5"/>
      <c r="M501" s="5"/>
    </row>
    <row r="502">
      <c r="A502" s="108"/>
      <c r="B502" s="108"/>
      <c r="C502" s="5"/>
      <c r="D502" s="5"/>
      <c r="E502" s="5"/>
      <c r="F502" s="5"/>
      <c r="G502" s="5"/>
      <c r="H502" s="5"/>
      <c r="I502" s="5"/>
      <c r="J502" s="5"/>
      <c r="K502" s="5"/>
      <c r="L502" s="5"/>
      <c r="M502" s="5"/>
    </row>
    <row r="503">
      <c r="A503" s="108"/>
      <c r="B503" s="108"/>
      <c r="C503" s="5"/>
      <c r="D503" s="5"/>
      <c r="E503" s="5"/>
      <c r="F503" s="5"/>
      <c r="G503" s="5"/>
      <c r="H503" s="5"/>
      <c r="I503" s="5"/>
      <c r="J503" s="5"/>
      <c r="K503" s="5"/>
      <c r="L503" s="5"/>
      <c r="M503" s="5"/>
    </row>
    <row r="504">
      <c r="A504" s="108"/>
      <c r="B504" s="108"/>
      <c r="C504" s="5"/>
      <c r="D504" s="5"/>
      <c r="E504" s="5"/>
      <c r="F504" s="5"/>
      <c r="G504" s="5"/>
      <c r="H504" s="5"/>
      <c r="I504" s="5"/>
      <c r="J504" s="5"/>
      <c r="K504" s="5"/>
      <c r="L504" s="5"/>
      <c r="M504" s="5"/>
    </row>
    <row r="505">
      <c r="A505" s="108"/>
      <c r="B505" s="108"/>
      <c r="C505" s="5"/>
      <c r="D505" s="5"/>
      <c r="E505" s="5"/>
      <c r="F505" s="5"/>
      <c r="G505" s="5"/>
      <c r="H505" s="5"/>
      <c r="I505" s="5"/>
      <c r="J505" s="5"/>
      <c r="K505" s="5"/>
      <c r="L505" s="5"/>
      <c r="M505" s="5"/>
    </row>
    <row r="506">
      <c r="A506" s="108"/>
      <c r="B506" s="108"/>
      <c r="C506" s="5"/>
      <c r="D506" s="5"/>
      <c r="E506" s="5"/>
      <c r="F506" s="5"/>
      <c r="G506" s="5"/>
      <c r="H506" s="5"/>
      <c r="I506" s="5"/>
      <c r="J506" s="5"/>
      <c r="K506" s="5"/>
      <c r="L506" s="5"/>
      <c r="M506" s="5"/>
    </row>
    <row r="507">
      <c r="A507" s="108"/>
      <c r="B507" s="108"/>
      <c r="C507" s="5"/>
      <c r="D507" s="5"/>
      <c r="E507" s="5"/>
      <c r="F507" s="5"/>
      <c r="G507" s="5"/>
      <c r="H507" s="5"/>
      <c r="I507" s="5"/>
      <c r="J507" s="5"/>
      <c r="K507" s="5"/>
      <c r="L507" s="5"/>
      <c r="M507" s="5"/>
    </row>
    <row r="508">
      <c r="A508" s="108"/>
      <c r="B508" s="108"/>
      <c r="C508" s="5"/>
      <c r="D508" s="5"/>
      <c r="E508" s="5"/>
      <c r="F508" s="5"/>
      <c r="G508" s="5"/>
      <c r="H508" s="5"/>
      <c r="I508" s="5"/>
      <c r="J508" s="5"/>
      <c r="K508" s="5"/>
      <c r="L508" s="5"/>
      <c r="M508" s="5"/>
    </row>
    <row r="509">
      <c r="A509" s="108"/>
      <c r="B509" s="108"/>
      <c r="C509" s="5"/>
      <c r="D509" s="5"/>
      <c r="E509" s="5"/>
      <c r="F509" s="5"/>
      <c r="G509" s="5"/>
      <c r="H509" s="5"/>
      <c r="I509" s="5"/>
      <c r="J509" s="5"/>
      <c r="K509" s="5"/>
      <c r="L509" s="5"/>
      <c r="M509" s="5"/>
    </row>
    <row r="510">
      <c r="A510" s="108"/>
      <c r="B510" s="108"/>
      <c r="C510" s="5"/>
      <c r="D510" s="5"/>
      <c r="E510" s="5"/>
      <c r="F510" s="5"/>
      <c r="G510" s="5"/>
      <c r="H510" s="5"/>
      <c r="I510" s="5"/>
      <c r="J510" s="5"/>
      <c r="K510" s="5"/>
      <c r="L510" s="5"/>
      <c r="M510" s="5"/>
    </row>
    <row r="511">
      <c r="A511" s="108"/>
      <c r="B511" s="108"/>
      <c r="C511" s="5"/>
      <c r="D511" s="5"/>
      <c r="E511" s="5"/>
      <c r="F511" s="5"/>
      <c r="G511" s="5"/>
      <c r="H511" s="5"/>
      <c r="I511" s="5"/>
      <c r="J511" s="5"/>
      <c r="K511" s="5"/>
      <c r="L511" s="5"/>
      <c r="M511" s="5"/>
    </row>
    <row r="512">
      <c r="A512" s="108"/>
      <c r="B512" s="108"/>
      <c r="C512" s="5"/>
      <c r="D512" s="5"/>
      <c r="E512" s="5"/>
      <c r="F512" s="5"/>
      <c r="G512" s="5"/>
      <c r="H512" s="5"/>
      <c r="I512" s="5"/>
      <c r="J512" s="5"/>
      <c r="K512" s="5"/>
      <c r="L512" s="5"/>
      <c r="M512" s="5"/>
    </row>
    <row r="513">
      <c r="A513" s="108"/>
      <c r="B513" s="108"/>
      <c r="C513" s="5"/>
      <c r="D513" s="5"/>
      <c r="E513" s="5"/>
      <c r="F513" s="5"/>
      <c r="G513" s="5"/>
      <c r="H513" s="5"/>
      <c r="I513" s="5"/>
      <c r="J513" s="5"/>
      <c r="K513" s="5"/>
      <c r="L513" s="5"/>
      <c r="M513" s="5"/>
    </row>
    <row r="514">
      <c r="A514" s="108"/>
      <c r="B514" s="108"/>
      <c r="C514" s="5"/>
      <c r="D514" s="5"/>
      <c r="E514" s="5"/>
      <c r="F514" s="5"/>
      <c r="G514" s="5"/>
      <c r="H514" s="5"/>
      <c r="I514" s="5"/>
      <c r="J514" s="5"/>
      <c r="K514" s="5"/>
      <c r="L514" s="5"/>
      <c r="M514" s="5"/>
    </row>
    <row r="515">
      <c r="A515" s="108"/>
      <c r="B515" s="108"/>
      <c r="C515" s="5"/>
      <c r="D515" s="5"/>
      <c r="E515" s="5"/>
      <c r="F515" s="5"/>
      <c r="G515" s="5"/>
      <c r="H515" s="5"/>
      <c r="I515" s="5"/>
      <c r="J515" s="5"/>
      <c r="K515" s="5"/>
      <c r="L515" s="5"/>
      <c r="M515" s="5"/>
    </row>
    <row r="516">
      <c r="A516" s="108"/>
      <c r="B516" s="108"/>
      <c r="C516" s="5"/>
      <c r="D516" s="5"/>
      <c r="E516" s="5"/>
      <c r="F516" s="5"/>
      <c r="G516" s="5"/>
      <c r="H516" s="5"/>
      <c r="I516" s="5"/>
      <c r="J516" s="5"/>
      <c r="K516" s="5"/>
      <c r="L516" s="5"/>
      <c r="M516" s="5"/>
    </row>
    <row r="517">
      <c r="A517" s="108"/>
      <c r="B517" s="108"/>
      <c r="C517" s="5"/>
      <c r="D517" s="5"/>
      <c r="E517" s="5"/>
      <c r="F517" s="5"/>
      <c r="G517" s="5"/>
      <c r="H517" s="5"/>
      <c r="I517" s="5"/>
      <c r="J517" s="5"/>
      <c r="K517" s="5"/>
      <c r="L517" s="5"/>
      <c r="M517" s="5"/>
    </row>
    <row r="518">
      <c r="A518" s="108"/>
      <c r="B518" s="108"/>
      <c r="C518" s="5"/>
      <c r="D518" s="5"/>
      <c r="E518" s="5"/>
      <c r="F518" s="5"/>
      <c r="G518" s="5"/>
      <c r="H518" s="5"/>
      <c r="I518" s="5"/>
      <c r="J518" s="5"/>
      <c r="K518" s="5"/>
      <c r="L518" s="5"/>
      <c r="M518" s="5"/>
    </row>
    <row r="519">
      <c r="A519" s="108"/>
      <c r="B519" s="108"/>
      <c r="C519" s="5"/>
      <c r="D519" s="5"/>
      <c r="E519" s="5"/>
      <c r="F519" s="5"/>
      <c r="G519" s="5"/>
      <c r="H519" s="5"/>
      <c r="I519" s="5"/>
      <c r="J519" s="5"/>
      <c r="K519" s="5"/>
      <c r="L519" s="5"/>
      <c r="M519" s="5"/>
    </row>
    <row r="520">
      <c r="A520" s="108"/>
      <c r="B520" s="108"/>
      <c r="C520" s="5"/>
      <c r="D520" s="5"/>
      <c r="E520" s="5"/>
      <c r="F520" s="5"/>
      <c r="G520" s="5"/>
      <c r="H520" s="5"/>
      <c r="I520" s="5"/>
      <c r="J520" s="5"/>
      <c r="K520" s="5"/>
      <c r="L520" s="5"/>
      <c r="M520" s="5"/>
    </row>
    <row r="521">
      <c r="A521" s="108"/>
      <c r="B521" s="108"/>
      <c r="C521" s="5"/>
      <c r="D521" s="5"/>
      <c r="E521" s="5"/>
      <c r="F521" s="5"/>
      <c r="G521" s="5"/>
      <c r="H521" s="5"/>
      <c r="I521" s="5"/>
      <c r="J521" s="5"/>
      <c r="K521" s="5"/>
      <c r="L521" s="5"/>
      <c r="M521" s="5"/>
    </row>
    <row r="522">
      <c r="A522" s="108"/>
      <c r="B522" s="108"/>
      <c r="C522" s="5"/>
      <c r="D522" s="5"/>
      <c r="E522" s="5"/>
      <c r="F522" s="5"/>
      <c r="G522" s="5"/>
      <c r="H522" s="5"/>
      <c r="I522" s="5"/>
      <c r="J522" s="5"/>
      <c r="K522" s="5"/>
      <c r="L522" s="5"/>
      <c r="M522" s="5"/>
    </row>
    <row r="523">
      <c r="A523" s="108"/>
      <c r="B523" s="108"/>
      <c r="C523" s="5"/>
      <c r="D523" s="5"/>
      <c r="E523" s="5"/>
      <c r="F523" s="5"/>
      <c r="G523" s="5"/>
      <c r="H523" s="5"/>
      <c r="I523" s="5"/>
      <c r="J523" s="5"/>
      <c r="K523" s="5"/>
      <c r="L523" s="5"/>
      <c r="M523" s="5"/>
    </row>
    <row r="524">
      <c r="A524" s="108"/>
      <c r="B524" s="108"/>
      <c r="C524" s="5"/>
      <c r="D524" s="5"/>
      <c r="E524" s="5"/>
      <c r="F524" s="5"/>
      <c r="G524" s="5"/>
      <c r="H524" s="5"/>
      <c r="I524" s="5"/>
      <c r="J524" s="5"/>
      <c r="K524" s="5"/>
      <c r="L524" s="5"/>
      <c r="M524" s="5"/>
    </row>
    <row r="525">
      <c r="A525" s="108"/>
      <c r="B525" s="108"/>
      <c r="C525" s="5"/>
      <c r="D525" s="5"/>
      <c r="E525" s="5"/>
      <c r="F525" s="5"/>
      <c r="G525" s="5"/>
      <c r="H525" s="5"/>
      <c r="I525" s="5"/>
      <c r="J525" s="5"/>
      <c r="K525" s="5"/>
      <c r="L525" s="5"/>
      <c r="M525" s="5"/>
    </row>
    <row r="526">
      <c r="A526" s="108"/>
      <c r="B526" s="108"/>
      <c r="C526" s="5"/>
      <c r="D526" s="5"/>
      <c r="E526" s="5"/>
      <c r="F526" s="5"/>
      <c r="G526" s="5"/>
      <c r="H526" s="5"/>
      <c r="I526" s="5"/>
      <c r="J526" s="5"/>
      <c r="K526" s="5"/>
      <c r="L526" s="5"/>
      <c r="M526" s="5"/>
    </row>
    <row r="527">
      <c r="A527" s="108"/>
      <c r="B527" s="108"/>
      <c r="C527" s="5"/>
      <c r="D527" s="5"/>
      <c r="E527" s="5"/>
      <c r="F527" s="5"/>
      <c r="G527" s="5"/>
      <c r="H527" s="5"/>
      <c r="I527" s="5"/>
      <c r="J527" s="5"/>
      <c r="K527" s="5"/>
      <c r="L527" s="5"/>
      <c r="M527" s="5"/>
    </row>
    <row r="528">
      <c r="A528" s="108"/>
      <c r="B528" s="108"/>
      <c r="C528" s="5"/>
      <c r="D528" s="5"/>
      <c r="E528" s="5"/>
      <c r="F528" s="5"/>
      <c r="G528" s="5"/>
      <c r="H528" s="5"/>
      <c r="I528" s="5"/>
      <c r="J528" s="5"/>
      <c r="K528" s="5"/>
      <c r="L528" s="5"/>
      <c r="M528" s="5"/>
    </row>
    <row r="529">
      <c r="A529" s="108"/>
      <c r="B529" s="108"/>
      <c r="C529" s="5"/>
      <c r="D529" s="5"/>
      <c r="E529" s="5"/>
      <c r="F529" s="5"/>
      <c r="G529" s="5"/>
      <c r="H529" s="5"/>
      <c r="I529" s="5"/>
      <c r="J529" s="5"/>
      <c r="K529" s="5"/>
      <c r="L529" s="5"/>
      <c r="M529" s="5"/>
    </row>
    <row r="530">
      <c r="A530" s="108"/>
      <c r="B530" s="108"/>
      <c r="C530" s="5"/>
      <c r="D530" s="5"/>
      <c r="E530" s="5"/>
      <c r="F530" s="5"/>
      <c r="G530" s="5"/>
      <c r="H530" s="5"/>
      <c r="I530" s="5"/>
      <c r="J530" s="5"/>
      <c r="K530" s="5"/>
      <c r="L530" s="5"/>
      <c r="M530" s="5"/>
    </row>
    <row r="531">
      <c r="A531" s="108"/>
      <c r="B531" s="108"/>
      <c r="C531" s="5"/>
      <c r="D531" s="5"/>
      <c r="E531" s="5"/>
      <c r="F531" s="5"/>
      <c r="G531" s="5"/>
      <c r="H531" s="5"/>
      <c r="I531" s="5"/>
      <c r="J531" s="5"/>
      <c r="K531" s="5"/>
      <c r="L531" s="5"/>
      <c r="M531" s="5"/>
    </row>
    <row r="532">
      <c r="A532" s="108"/>
      <c r="B532" s="108"/>
      <c r="C532" s="5"/>
      <c r="D532" s="5"/>
      <c r="E532" s="5"/>
      <c r="F532" s="5"/>
      <c r="G532" s="5"/>
      <c r="H532" s="5"/>
      <c r="I532" s="5"/>
      <c r="J532" s="5"/>
      <c r="K532" s="5"/>
      <c r="L532" s="5"/>
      <c r="M532" s="5"/>
    </row>
    <row r="533">
      <c r="A533" s="108"/>
      <c r="B533" s="108"/>
      <c r="C533" s="5"/>
      <c r="D533" s="5"/>
      <c r="E533" s="5"/>
      <c r="F533" s="5"/>
      <c r="G533" s="5"/>
      <c r="H533" s="5"/>
      <c r="I533" s="5"/>
      <c r="J533" s="5"/>
      <c r="K533" s="5"/>
      <c r="L533" s="5"/>
      <c r="M533" s="5"/>
    </row>
    <row r="534">
      <c r="A534" s="108"/>
      <c r="B534" s="108"/>
      <c r="C534" s="5"/>
      <c r="D534" s="5"/>
      <c r="E534" s="5"/>
      <c r="F534" s="5"/>
      <c r="G534" s="5"/>
      <c r="H534" s="5"/>
      <c r="I534" s="5"/>
      <c r="J534" s="5"/>
      <c r="K534" s="5"/>
      <c r="L534" s="5"/>
      <c r="M534" s="5"/>
    </row>
    <row r="535">
      <c r="A535" s="108"/>
      <c r="B535" s="108"/>
      <c r="C535" s="5"/>
      <c r="D535" s="5"/>
      <c r="E535" s="5"/>
      <c r="F535" s="5"/>
      <c r="G535" s="5"/>
      <c r="H535" s="5"/>
      <c r="I535" s="5"/>
      <c r="J535" s="5"/>
      <c r="K535" s="5"/>
      <c r="L535" s="5"/>
      <c r="M535" s="5"/>
    </row>
    <row r="536">
      <c r="A536" s="108"/>
      <c r="B536" s="108"/>
      <c r="C536" s="5"/>
      <c r="D536" s="5"/>
      <c r="E536" s="5"/>
      <c r="F536" s="5"/>
      <c r="G536" s="5"/>
      <c r="H536" s="5"/>
      <c r="I536" s="5"/>
      <c r="J536" s="5"/>
      <c r="K536" s="5"/>
      <c r="L536" s="5"/>
      <c r="M536" s="5"/>
    </row>
    <row r="537">
      <c r="A537" s="108"/>
      <c r="B537" s="108"/>
      <c r="C537" s="5"/>
      <c r="D537" s="5"/>
      <c r="E537" s="5"/>
      <c r="F537" s="5"/>
      <c r="G537" s="5"/>
      <c r="H537" s="5"/>
      <c r="I537" s="5"/>
      <c r="J537" s="5"/>
      <c r="K537" s="5"/>
      <c r="L537" s="5"/>
      <c r="M537" s="5"/>
    </row>
    <row r="538">
      <c r="A538" s="108"/>
      <c r="B538" s="108"/>
      <c r="C538" s="5"/>
      <c r="D538" s="5"/>
      <c r="E538" s="5"/>
      <c r="F538" s="5"/>
      <c r="G538" s="5"/>
      <c r="H538" s="5"/>
      <c r="I538" s="5"/>
      <c r="J538" s="5"/>
      <c r="K538" s="5"/>
      <c r="L538" s="5"/>
      <c r="M538" s="5"/>
    </row>
    <row r="539">
      <c r="A539" s="108"/>
      <c r="B539" s="108"/>
      <c r="C539" s="5"/>
      <c r="D539" s="5"/>
      <c r="E539" s="5"/>
      <c r="F539" s="5"/>
      <c r="G539" s="5"/>
      <c r="H539" s="5"/>
      <c r="I539" s="5"/>
      <c r="J539" s="5"/>
      <c r="K539" s="5"/>
      <c r="L539" s="5"/>
      <c r="M539" s="5"/>
    </row>
    <row r="540">
      <c r="A540" s="108"/>
      <c r="B540" s="108"/>
      <c r="C540" s="5"/>
      <c r="D540" s="5"/>
      <c r="E540" s="5"/>
      <c r="F540" s="5"/>
      <c r="G540" s="5"/>
      <c r="H540" s="5"/>
      <c r="I540" s="5"/>
      <c r="J540" s="5"/>
      <c r="K540" s="5"/>
      <c r="L540" s="5"/>
      <c r="M540" s="5"/>
    </row>
    <row r="541">
      <c r="A541" s="108"/>
      <c r="B541" s="108"/>
      <c r="C541" s="5"/>
      <c r="D541" s="5"/>
      <c r="E541" s="5"/>
      <c r="F541" s="5"/>
      <c r="G541" s="5"/>
      <c r="H541" s="5"/>
      <c r="I541" s="5"/>
      <c r="J541" s="5"/>
      <c r="K541" s="5"/>
      <c r="L541" s="5"/>
      <c r="M541" s="5"/>
    </row>
    <row r="542">
      <c r="A542" s="108"/>
      <c r="B542" s="108"/>
      <c r="C542" s="5"/>
      <c r="D542" s="5"/>
      <c r="E542" s="5"/>
      <c r="F542" s="5"/>
      <c r="G542" s="5"/>
      <c r="H542" s="5"/>
      <c r="I542" s="5"/>
      <c r="J542" s="5"/>
      <c r="K542" s="5"/>
      <c r="L542" s="5"/>
      <c r="M542" s="5"/>
    </row>
    <row r="543">
      <c r="A543" s="108"/>
      <c r="B543" s="108"/>
      <c r="C543" s="5"/>
      <c r="D543" s="5"/>
      <c r="E543" s="5"/>
      <c r="F543" s="5"/>
      <c r="G543" s="5"/>
      <c r="H543" s="5"/>
      <c r="I543" s="5"/>
      <c r="J543" s="5"/>
      <c r="K543" s="5"/>
      <c r="L543" s="5"/>
      <c r="M543" s="5"/>
    </row>
    <row r="544">
      <c r="A544" s="108"/>
      <c r="B544" s="108"/>
      <c r="C544" s="5"/>
      <c r="D544" s="5"/>
      <c r="E544" s="5"/>
      <c r="F544" s="5"/>
      <c r="G544" s="5"/>
      <c r="H544" s="5"/>
      <c r="I544" s="5"/>
      <c r="J544" s="5"/>
      <c r="K544" s="5"/>
      <c r="L544" s="5"/>
      <c r="M544" s="5"/>
    </row>
    <row r="545">
      <c r="A545" s="108"/>
      <c r="B545" s="108"/>
      <c r="C545" s="5"/>
      <c r="D545" s="5"/>
      <c r="E545" s="5"/>
      <c r="F545" s="5"/>
      <c r="G545" s="5"/>
      <c r="H545" s="5"/>
      <c r="I545" s="5"/>
      <c r="J545" s="5"/>
      <c r="K545" s="5"/>
      <c r="L545" s="5"/>
      <c r="M545" s="5"/>
    </row>
    <row r="546">
      <c r="A546" s="108"/>
      <c r="B546" s="108"/>
      <c r="C546" s="5"/>
      <c r="D546" s="5"/>
      <c r="E546" s="5"/>
      <c r="F546" s="5"/>
      <c r="G546" s="5"/>
      <c r="H546" s="5"/>
      <c r="I546" s="5"/>
      <c r="J546" s="5"/>
      <c r="K546" s="5"/>
      <c r="L546" s="5"/>
      <c r="M546" s="5"/>
    </row>
    <row r="547">
      <c r="A547" s="108"/>
      <c r="B547" s="108"/>
      <c r="C547" s="5"/>
      <c r="D547" s="5"/>
      <c r="E547" s="5"/>
      <c r="F547" s="5"/>
      <c r="G547" s="5"/>
      <c r="H547" s="5"/>
      <c r="I547" s="5"/>
      <c r="J547" s="5"/>
      <c r="K547" s="5"/>
      <c r="L547" s="5"/>
      <c r="M547" s="5"/>
    </row>
    <row r="548">
      <c r="A548" s="108"/>
      <c r="B548" s="108"/>
      <c r="C548" s="5"/>
      <c r="D548" s="5"/>
      <c r="E548" s="5"/>
      <c r="F548" s="5"/>
      <c r="G548" s="5"/>
      <c r="H548" s="5"/>
      <c r="I548" s="5"/>
      <c r="J548" s="5"/>
      <c r="K548" s="5"/>
      <c r="L548" s="5"/>
      <c r="M548" s="5"/>
    </row>
    <row r="549">
      <c r="A549" s="108"/>
      <c r="B549" s="108"/>
      <c r="C549" s="5"/>
      <c r="D549" s="5"/>
      <c r="E549" s="5"/>
      <c r="F549" s="5"/>
      <c r="G549" s="5"/>
      <c r="H549" s="5"/>
      <c r="I549" s="5"/>
      <c r="J549" s="5"/>
      <c r="K549" s="5"/>
      <c r="L549" s="5"/>
      <c r="M549" s="5"/>
    </row>
    <row r="550">
      <c r="A550" s="108"/>
      <c r="B550" s="108"/>
      <c r="C550" s="5"/>
      <c r="D550" s="5"/>
      <c r="E550" s="5"/>
      <c r="F550" s="5"/>
      <c r="G550" s="5"/>
      <c r="H550" s="5"/>
      <c r="I550" s="5"/>
      <c r="J550" s="5"/>
      <c r="K550" s="5"/>
      <c r="L550" s="5"/>
      <c r="M550" s="5"/>
    </row>
    <row r="551">
      <c r="A551" s="108"/>
      <c r="B551" s="108"/>
      <c r="C551" s="5"/>
      <c r="D551" s="5"/>
      <c r="E551" s="5"/>
      <c r="F551" s="5"/>
      <c r="G551" s="5"/>
      <c r="H551" s="5"/>
      <c r="I551" s="5"/>
      <c r="J551" s="5"/>
      <c r="K551" s="5"/>
      <c r="L551" s="5"/>
      <c r="M551" s="5"/>
    </row>
    <row r="552">
      <c r="A552" s="108"/>
      <c r="B552" s="108"/>
      <c r="C552" s="5"/>
      <c r="D552" s="5"/>
      <c r="E552" s="5"/>
      <c r="F552" s="5"/>
      <c r="G552" s="5"/>
      <c r="H552" s="5"/>
      <c r="I552" s="5"/>
      <c r="J552" s="5"/>
      <c r="K552" s="5"/>
      <c r="L552" s="5"/>
      <c r="M552" s="5"/>
    </row>
    <row r="553">
      <c r="A553" s="108"/>
      <c r="B553" s="108"/>
      <c r="C553" s="5"/>
      <c r="D553" s="5"/>
      <c r="E553" s="5"/>
      <c r="F553" s="5"/>
      <c r="G553" s="5"/>
      <c r="H553" s="5"/>
      <c r="I553" s="5"/>
      <c r="J553" s="5"/>
      <c r="K553" s="5"/>
      <c r="L553" s="5"/>
      <c r="M553" s="5"/>
    </row>
    <row r="554">
      <c r="A554" s="108"/>
      <c r="B554" s="108"/>
      <c r="C554" s="5"/>
      <c r="D554" s="5"/>
      <c r="E554" s="5"/>
      <c r="F554" s="5"/>
      <c r="G554" s="5"/>
      <c r="H554" s="5"/>
      <c r="I554" s="5"/>
      <c r="J554" s="5"/>
      <c r="K554" s="5"/>
      <c r="L554" s="5"/>
      <c r="M554" s="5"/>
    </row>
    <row r="555">
      <c r="A555" s="108"/>
      <c r="B555" s="108"/>
      <c r="C555" s="5"/>
      <c r="D555" s="5"/>
      <c r="E555" s="5"/>
      <c r="F555" s="5"/>
      <c r="G555" s="5"/>
      <c r="H555" s="5"/>
      <c r="I555" s="5"/>
      <c r="J555" s="5"/>
      <c r="K555" s="5"/>
      <c r="L555" s="5"/>
      <c r="M555" s="5"/>
    </row>
    <row r="556">
      <c r="A556" s="108"/>
      <c r="B556" s="108"/>
      <c r="C556" s="5"/>
      <c r="D556" s="5"/>
      <c r="E556" s="5"/>
      <c r="F556" s="5"/>
      <c r="G556" s="5"/>
      <c r="H556" s="5"/>
      <c r="I556" s="5"/>
      <c r="J556" s="5"/>
      <c r="K556" s="5"/>
      <c r="L556" s="5"/>
      <c r="M556" s="5"/>
    </row>
    <row r="557">
      <c r="A557" s="108"/>
      <c r="B557" s="108"/>
      <c r="C557" s="5"/>
      <c r="D557" s="5"/>
      <c r="E557" s="5"/>
      <c r="F557" s="5"/>
      <c r="G557" s="5"/>
      <c r="H557" s="5"/>
      <c r="I557" s="5"/>
      <c r="J557" s="5"/>
      <c r="K557" s="5"/>
      <c r="L557" s="5"/>
      <c r="M557" s="5"/>
    </row>
    <row r="558">
      <c r="A558" s="108"/>
      <c r="B558" s="108"/>
      <c r="C558" s="5"/>
      <c r="D558" s="5"/>
      <c r="E558" s="5"/>
      <c r="F558" s="5"/>
      <c r="G558" s="5"/>
      <c r="H558" s="5"/>
      <c r="I558" s="5"/>
      <c r="J558" s="5"/>
      <c r="K558" s="5"/>
      <c r="L558" s="5"/>
      <c r="M558" s="5"/>
    </row>
    <row r="559">
      <c r="A559" s="108"/>
      <c r="B559" s="108"/>
      <c r="C559" s="5"/>
      <c r="D559" s="5"/>
      <c r="E559" s="5"/>
      <c r="F559" s="5"/>
      <c r="G559" s="5"/>
      <c r="H559" s="5"/>
      <c r="I559" s="5"/>
      <c r="J559" s="5"/>
      <c r="K559" s="5"/>
      <c r="L559" s="5"/>
      <c r="M559" s="5"/>
    </row>
    <row r="560">
      <c r="A560" s="108"/>
      <c r="B560" s="108"/>
      <c r="C560" s="5"/>
      <c r="D560" s="5"/>
      <c r="E560" s="5"/>
      <c r="F560" s="5"/>
      <c r="G560" s="5"/>
      <c r="H560" s="5"/>
      <c r="I560" s="5"/>
      <c r="J560" s="5"/>
      <c r="K560" s="5"/>
      <c r="L560" s="5"/>
      <c r="M560" s="5"/>
    </row>
    <row r="561">
      <c r="A561" s="108"/>
      <c r="B561" s="108"/>
      <c r="C561" s="5"/>
      <c r="D561" s="5"/>
      <c r="E561" s="5"/>
      <c r="F561" s="5"/>
      <c r="G561" s="5"/>
      <c r="H561" s="5"/>
      <c r="I561" s="5"/>
      <c r="J561" s="5"/>
      <c r="K561" s="5"/>
      <c r="L561" s="5"/>
      <c r="M561" s="5"/>
    </row>
    <row r="562">
      <c r="A562" s="108"/>
      <c r="B562" s="108"/>
      <c r="C562" s="5"/>
      <c r="D562" s="5"/>
      <c r="E562" s="5"/>
      <c r="F562" s="5"/>
      <c r="G562" s="5"/>
      <c r="H562" s="5"/>
      <c r="I562" s="5"/>
      <c r="J562" s="5"/>
      <c r="K562" s="5"/>
      <c r="L562" s="5"/>
      <c r="M562" s="5"/>
    </row>
    <row r="563">
      <c r="A563" s="108"/>
      <c r="B563" s="108"/>
      <c r="C563" s="5"/>
      <c r="D563" s="5"/>
      <c r="E563" s="5"/>
      <c r="F563" s="5"/>
      <c r="G563" s="5"/>
      <c r="H563" s="5"/>
      <c r="I563" s="5"/>
      <c r="J563" s="5"/>
      <c r="K563" s="5"/>
      <c r="L563" s="5"/>
      <c r="M563" s="5"/>
    </row>
    <row r="564">
      <c r="A564" s="108"/>
      <c r="B564" s="108"/>
      <c r="C564" s="5"/>
      <c r="D564" s="5"/>
      <c r="E564" s="5"/>
      <c r="F564" s="5"/>
      <c r="G564" s="5"/>
      <c r="H564" s="5"/>
      <c r="I564" s="5"/>
      <c r="J564" s="5"/>
      <c r="K564" s="5"/>
      <c r="L564" s="5"/>
      <c r="M564" s="5"/>
    </row>
    <row r="565">
      <c r="A565" s="108"/>
      <c r="B565" s="108"/>
      <c r="C565" s="5"/>
      <c r="D565" s="5"/>
      <c r="E565" s="5"/>
      <c r="F565" s="5"/>
      <c r="G565" s="5"/>
      <c r="H565" s="5"/>
      <c r="I565" s="5"/>
      <c r="J565" s="5"/>
      <c r="K565" s="5"/>
      <c r="L565" s="5"/>
      <c r="M565" s="5"/>
    </row>
    <row r="566">
      <c r="A566" s="108"/>
      <c r="B566" s="108"/>
      <c r="C566" s="5"/>
      <c r="D566" s="5"/>
      <c r="E566" s="5"/>
      <c r="F566" s="5"/>
      <c r="G566" s="5"/>
      <c r="H566" s="5"/>
      <c r="I566" s="5"/>
      <c r="J566" s="5"/>
      <c r="K566" s="5"/>
      <c r="L566" s="5"/>
      <c r="M566" s="5"/>
    </row>
    <row r="567">
      <c r="A567" s="108"/>
      <c r="B567" s="108"/>
      <c r="C567" s="5"/>
      <c r="D567" s="5"/>
      <c r="E567" s="5"/>
      <c r="F567" s="5"/>
      <c r="G567" s="5"/>
      <c r="H567" s="5"/>
      <c r="I567" s="5"/>
      <c r="J567" s="5"/>
      <c r="K567" s="5"/>
      <c r="L567" s="5"/>
      <c r="M567" s="5"/>
    </row>
    <row r="568">
      <c r="A568" s="108"/>
      <c r="B568" s="108"/>
      <c r="C568" s="5"/>
      <c r="D568" s="5"/>
      <c r="E568" s="5"/>
      <c r="F568" s="5"/>
      <c r="G568" s="5"/>
      <c r="H568" s="5"/>
      <c r="I568" s="5"/>
      <c r="J568" s="5"/>
      <c r="K568" s="5"/>
      <c r="L568" s="5"/>
      <c r="M568" s="5"/>
    </row>
    <row r="569">
      <c r="A569" s="108"/>
      <c r="B569" s="108"/>
      <c r="C569" s="5"/>
      <c r="D569" s="5"/>
      <c r="E569" s="5"/>
      <c r="F569" s="5"/>
      <c r="G569" s="5"/>
      <c r="H569" s="5"/>
      <c r="I569" s="5"/>
      <c r="J569" s="5"/>
      <c r="K569" s="5"/>
      <c r="L569" s="5"/>
      <c r="M569" s="5"/>
    </row>
    <row r="570">
      <c r="A570" s="108"/>
      <c r="B570" s="108"/>
      <c r="C570" s="5"/>
      <c r="D570" s="5"/>
      <c r="E570" s="5"/>
      <c r="F570" s="5"/>
      <c r="G570" s="5"/>
      <c r="H570" s="5"/>
      <c r="I570" s="5"/>
      <c r="J570" s="5"/>
      <c r="K570" s="5"/>
      <c r="L570" s="5"/>
      <c r="M570" s="5"/>
    </row>
    <row r="571">
      <c r="A571" s="108"/>
      <c r="B571" s="108"/>
      <c r="C571" s="5"/>
      <c r="D571" s="5"/>
      <c r="E571" s="5"/>
      <c r="F571" s="5"/>
      <c r="G571" s="5"/>
      <c r="H571" s="5"/>
      <c r="I571" s="5"/>
      <c r="J571" s="5"/>
      <c r="K571" s="5"/>
      <c r="L571" s="5"/>
      <c r="M571" s="5"/>
    </row>
    <row r="572">
      <c r="A572" s="108"/>
      <c r="B572" s="108"/>
      <c r="C572" s="5"/>
      <c r="D572" s="5"/>
      <c r="E572" s="5"/>
      <c r="F572" s="5"/>
      <c r="G572" s="5"/>
      <c r="H572" s="5"/>
      <c r="I572" s="5"/>
      <c r="J572" s="5"/>
      <c r="K572" s="5"/>
      <c r="L572" s="5"/>
      <c r="M572" s="5"/>
    </row>
    <row r="573">
      <c r="A573" s="108"/>
      <c r="B573" s="108"/>
      <c r="C573" s="5"/>
      <c r="D573" s="5"/>
      <c r="E573" s="5"/>
      <c r="F573" s="5"/>
      <c r="G573" s="5"/>
      <c r="H573" s="5"/>
      <c r="I573" s="5"/>
      <c r="J573" s="5"/>
      <c r="K573" s="5"/>
      <c r="L573" s="5"/>
      <c r="M573" s="5"/>
    </row>
    <row r="574">
      <c r="A574" s="108"/>
      <c r="B574" s="108"/>
      <c r="C574" s="5"/>
      <c r="D574" s="5"/>
      <c r="E574" s="5"/>
      <c r="F574" s="5"/>
      <c r="G574" s="5"/>
      <c r="H574" s="5"/>
      <c r="I574" s="5"/>
      <c r="J574" s="5"/>
      <c r="K574" s="5"/>
      <c r="L574" s="5"/>
      <c r="M574" s="5"/>
    </row>
    <row r="575">
      <c r="A575" s="108"/>
      <c r="B575" s="108"/>
      <c r="C575" s="5"/>
      <c r="D575" s="5"/>
      <c r="E575" s="5"/>
      <c r="F575" s="5"/>
      <c r="G575" s="5"/>
      <c r="H575" s="5"/>
      <c r="I575" s="5"/>
      <c r="J575" s="5"/>
      <c r="K575" s="5"/>
      <c r="L575" s="5"/>
      <c r="M575" s="5"/>
    </row>
    <row r="576">
      <c r="A576" s="108"/>
      <c r="B576" s="108"/>
      <c r="C576" s="5"/>
      <c r="D576" s="5"/>
      <c r="E576" s="5"/>
      <c r="F576" s="5"/>
      <c r="G576" s="5"/>
      <c r="H576" s="5"/>
      <c r="I576" s="5"/>
      <c r="J576" s="5"/>
      <c r="K576" s="5"/>
      <c r="L576" s="5"/>
      <c r="M576" s="5"/>
    </row>
    <row r="577">
      <c r="A577" s="108"/>
      <c r="B577" s="108"/>
      <c r="C577" s="5"/>
      <c r="D577" s="5"/>
      <c r="E577" s="5"/>
      <c r="F577" s="5"/>
      <c r="G577" s="5"/>
      <c r="H577" s="5"/>
      <c r="I577" s="5"/>
      <c r="J577" s="5"/>
      <c r="K577" s="5"/>
      <c r="L577" s="5"/>
      <c r="M577" s="5"/>
    </row>
    <row r="578">
      <c r="A578" s="108"/>
      <c r="B578" s="108"/>
      <c r="C578" s="5"/>
      <c r="D578" s="5"/>
      <c r="E578" s="5"/>
      <c r="F578" s="5"/>
      <c r="G578" s="5"/>
      <c r="H578" s="5"/>
      <c r="I578" s="5"/>
      <c r="J578" s="5"/>
      <c r="K578" s="5"/>
      <c r="L578" s="5"/>
      <c r="M578" s="5"/>
    </row>
    <row r="579">
      <c r="A579" s="108"/>
      <c r="B579" s="108"/>
      <c r="C579" s="5"/>
      <c r="D579" s="5"/>
      <c r="E579" s="5"/>
      <c r="F579" s="5"/>
      <c r="G579" s="5"/>
      <c r="H579" s="5"/>
      <c r="I579" s="5"/>
      <c r="J579" s="5"/>
      <c r="K579" s="5"/>
      <c r="L579" s="5"/>
      <c r="M579" s="5"/>
    </row>
    <row r="580">
      <c r="A580" s="108"/>
      <c r="B580" s="108"/>
      <c r="C580" s="5"/>
      <c r="D580" s="5"/>
      <c r="E580" s="5"/>
      <c r="F580" s="5"/>
      <c r="G580" s="5"/>
      <c r="H580" s="5"/>
      <c r="I580" s="5"/>
      <c r="J580" s="5"/>
      <c r="K580" s="5"/>
      <c r="L580" s="5"/>
      <c r="M580" s="5"/>
    </row>
    <row r="581">
      <c r="A581" s="108"/>
      <c r="B581" s="108"/>
      <c r="C581" s="5"/>
      <c r="D581" s="5"/>
      <c r="E581" s="5"/>
      <c r="F581" s="5"/>
      <c r="G581" s="5"/>
      <c r="H581" s="5"/>
      <c r="I581" s="5"/>
      <c r="J581" s="5"/>
      <c r="K581" s="5"/>
      <c r="L581" s="5"/>
      <c r="M581" s="5"/>
    </row>
    <row r="582">
      <c r="A582" s="108"/>
      <c r="B582" s="108"/>
      <c r="C582" s="5"/>
      <c r="D582" s="5"/>
      <c r="E582" s="5"/>
      <c r="F582" s="5"/>
      <c r="G582" s="5"/>
      <c r="H582" s="5"/>
      <c r="I582" s="5"/>
      <c r="J582" s="5"/>
      <c r="K582" s="5"/>
      <c r="L582" s="5"/>
      <c r="M582" s="5"/>
    </row>
    <row r="583">
      <c r="A583" s="108"/>
      <c r="B583" s="108"/>
      <c r="C583" s="5"/>
      <c r="D583" s="5"/>
      <c r="E583" s="5"/>
      <c r="F583" s="5"/>
      <c r="G583" s="5"/>
      <c r="H583" s="5"/>
      <c r="I583" s="5"/>
      <c r="J583" s="5"/>
      <c r="K583" s="5"/>
      <c r="L583" s="5"/>
      <c r="M583" s="5"/>
    </row>
    <row r="584">
      <c r="A584" s="108"/>
      <c r="B584" s="108"/>
      <c r="C584" s="5"/>
      <c r="D584" s="5"/>
      <c r="E584" s="5"/>
      <c r="F584" s="5"/>
      <c r="G584" s="5"/>
      <c r="H584" s="5"/>
      <c r="I584" s="5"/>
      <c r="J584" s="5"/>
      <c r="K584" s="5"/>
      <c r="L584" s="5"/>
      <c r="M584" s="5"/>
    </row>
    <row r="585">
      <c r="A585" s="108"/>
      <c r="B585" s="108"/>
      <c r="C585" s="5"/>
      <c r="D585" s="5"/>
      <c r="E585" s="5"/>
      <c r="F585" s="5"/>
      <c r="G585" s="5"/>
      <c r="H585" s="5"/>
      <c r="I585" s="5"/>
      <c r="J585" s="5"/>
      <c r="K585" s="5"/>
      <c r="L585" s="5"/>
      <c r="M585" s="5"/>
    </row>
    <row r="586">
      <c r="A586" s="108"/>
      <c r="B586" s="108"/>
      <c r="C586" s="5"/>
      <c r="D586" s="5"/>
      <c r="E586" s="5"/>
      <c r="F586" s="5"/>
      <c r="G586" s="5"/>
      <c r="H586" s="5"/>
      <c r="I586" s="5"/>
      <c r="J586" s="5"/>
      <c r="K586" s="5"/>
      <c r="L586" s="5"/>
      <c r="M586" s="5"/>
    </row>
    <row r="587">
      <c r="A587" s="108"/>
      <c r="B587" s="108"/>
      <c r="C587" s="5"/>
      <c r="D587" s="5"/>
      <c r="E587" s="5"/>
      <c r="F587" s="5"/>
      <c r="G587" s="5"/>
      <c r="H587" s="5"/>
      <c r="I587" s="5"/>
      <c r="J587" s="5"/>
      <c r="K587" s="5"/>
      <c r="L587" s="5"/>
      <c r="M587" s="5"/>
    </row>
    <row r="588">
      <c r="A588" s="108"/>
      <c r="B588" s="108"/>
      <c r="C588" s="5"/>
      <c r="D588" s="5"/>
      <c r="E588" s="5"/>
      <c r="F588" s="5"/>
      <c r="G588" s="5"/>
      <c r="H588" s="5"/>
      <c r="I588" s="5"/>
      <c r="J588" s="5"/>
      <c r="K588" s="5"/>
      <c r="L588" s="5"/>
      <c r="M588" s="5"/>
    </row>
    <row r="589">
      <c r="A589" s="108"/>
      <c r="B589" s="108"/>
      <c r="C589" s="5"/>
      <c r="D589" s="5"/>
      <c r="E589" s="5"/>
      <c r="F589" s="5"/>
      <c r="G589" s="5"/>
      <c r="H589" s="5"/>
      <c r="I589" s="5"/>
      <c r="J589" s="5"/>
      <c r="K589" s="5"/>
      <c r="L589" s="5"/>
      <c r="M589" s="5"/>
    </row>
    <row r="590">
      <c r="A590" s="108"/>
      <c r="B590" s="108"/>
      <c r="C590" s="5"/>
      <c r="D590" s="5"/>
      <c r="E590" s="5"/>
      <c r="F590" s="5"/>
      <c r="G590" s="5"/>
      <c r="H590" s="5"/>
      <c r="I590" s="5"/>
      <c r="J590" s="5"/>
      <c r="K590" s="5"/>
      <c r="L590" s="5"/>
      <c r="M590" s="5"/>
    </row>
    <row r="591">
      <c r="A591" s="108"/>
      <c r="B591" s="108"/>
      <c r="C591" s="5"/>
      <c r="D591" s="5"/>
      <c r="E591" s="5"/>
      <c r="F591" s="5"/>
      <c r="G591" s="5"/>
      <c r="H591" s="5"/>
      <c r="I591" s="5"/>
      <c r="J591" s="5"/>
      <c r="K591" s="5"/>
      <c r="L591" s="5"/>
      <c r="M591" s="5"/>
    </row>
    <row r="592">
      <c r="A592" s="108"/>
      <c r="B592" s="108"/>
      <c r="C592" s="5"/>
      <c r="D592" s="5"/>
      <c r="E592" s="5"/>
      <c r="F592" s="5"/>
      <c r="G592" s="5"/>
      <c r="H592" s="5"/>
      <c r="I592" s="5"/>
      <c r="J592" s="5"/>
      <c r="K592" s="5"/>
      <c r="L592" s="5"/>
      <c r="M592" s="5"/>
    </row>
    <row r="593">
      <c r="A593" s="108"/>
      <c r="B593" s="108"/>
      <c r="C593" s="5"/>
      <c r="D593" s="5"/>
      <c r="E593" s="5"/>
      <c r="F593" s="5"/>
      <c r="G593" s="5"/>
      <c r="H593" s="5"/>
      <c r="I593" s="5"/>
      <c r="J593" s="5"/>
      <c r="K593" s="5"/>
      <c r="L593" s="5"/>
      <c r="M593" s="5"/>
    </row>
    <row r="594">
      <c r="A594" s="108"/>
      <c r="B594" s="108"/>
      <c r="C594" s="5"/>
      <c r="D594" s="5"/>
      <c r="E594" s="5"/>
      <c r="F594" s="5"/>
      <c r="G594" s="5"/>
      <c r="H594" s="5"/>
      <c r="I594" s="5"/>
      <c r="J594" s="5"/>
      <c r="K594" s="5"/>
      <c r="L594" s="5"/>
      <c r="M594" s="5"/>
    </row>
    <row r="595">
      <c r="A595" s="108"/>
      <c r="B595" s="108"/>
      <c r="C595" s="5"/>
      <c r="D595" s="5"/>
      <c r="E595" s="5"/>
      <c r="F595" s="5"/>
      <c r="G595" s="5"/>
      <c r="H595" s="5"/>
      <c r="I595" s="5"/>
      <c r="J595" s="5"/>
      <c r="K595" s="5"/>
      <c r="L595" s="5"/>
      <c r="M595" s="5"/>
    </row>
    <row r="596">
      <c r="A596" s="108"/>
      <c r="B596" s="108"/>
      <c r="C596" s="5"/>
      <c r="D596" s="5"/>
      <c r="E596" s="5"/>
      <c r="F596" s="5"/>
      <c r="G596" s="5"/>
      <c r="H596" s="5"/>
      <c r="I596" s="5"/>
      <c r="J596" s="5"/>
      <c r="K596" s="5"/>
      <c r="L596" s="5"/>
      <c r="M596" s="5"/>
    </row>
    <row r="597">
      <c r="A597" s="108"/>
      <c r="B597" s="108"/>
      <c r="C597" s="5"/>
      <c r="D597" s="5"/>
      <c r="E597" s="5"/>
      <c r="F597" s="5"/>
      <c r="G597" s="5"/>
      <c r="H597" s="5"/>
      <c r="I597" s="5"/>
      <c r="J597" s="5"/>
      <c r="K597" s="5"/>
      <c r="L597" s="5"/>
      <c r="M597" s="5"/>
    </row>
    <row r="598">
      <c r="A598" s="108"/>
      <c r="B598" s="108"/>
      <c r="C598" s="5"/>
      <c r="D598" s="5"/>
      <c r="E598" s="5"/>
      <c r="F598" s="5"/>
      <c r="G598" s="5"/>
      <c r="H598" s="5"/>
      <c r="I598" s="5"/>
      <c r="J598" s="5"/>
      <c r="K598" s="5"/>
      <c r="L598" s="5"/>
      <c r="M598" s="5"/>
    </row>
    <row r="599">
      <c r="A599" s="108"/>
      <c r="B599" s="108"/>
      <c r="C599" s="5"/>
      <c r="D599" s="5"/>
      <c r="E599" s="5"/>
      <c r="F599" s="5"/>
      <c r="G599" s="5"/>
      <c r="H599" s="5"/>
      <c r="I599" s="5"/>
      <c r="J599" s="5"/>
      <c r="K599" s="5"/>
      <c r="L599" s="5"/>
      <c r="M599" s="5"/>
    </row>
    <row r="600">
      <c r="A600" s="108"/>
      <c r="B600" s="108"/>
      <c r="C600" s="5"/>
      <c r="D600" s="5"/>
      <c r="E600" s="5"/>
      <c r="F600" s="5"/>
      <c r="G600" s="5"/>
      <c r="H600" s="5"/>
      <c r="I600" s="5"/>
      <c r="J600" s="5"/>
      <c r="K600" s="5"/>
      <c r="L600" s="5"/>
      <c r="M600" s="5"/>
    </row>
    <row r="601">
      <c r="A601" s="108"/>
      <c r="B601" s="108"/>
      <c r="C601" s="5"/>
      <c r="D601" s="5"/>
      <c r="E601" s="5"/>
      <c r="F601" s="5"/>
      <c r="G601" s="5"/>
      <c r="H601" s="5"/>
      <c r="I601" s="5"/>
      <c r="J601" s="5"/>
      <c r="K601" s="5"/>
      <c r="L601" s="5"/>
      <c r="M601" s="5"/>
    </row>
    <row r="602">
      <c r="A602" s="108"/>
      <c r="B602" s="108"/>
      <c r="C602" s="5"/>
      <c r="D602" s="5"/>
      <c r="E602" s="5"/>
      <c r="F602" s="5"/>
      <c r="G602" s="5"/>
      <c r="H602" s="5"/>
      <c r="I602" s="5"/>
      <c r="J602" s="5"/>
      <c r="K602" s="5"/>
      <c r="L602" s="5"/>
      <c r="M602" s="5"/>
    </row>
    <row r="603">
      <c r="A603" s="108"/>
      <c r="B603" s="108"/>
      <c r="C603" s="5"/>
      <c r="D603" s="5"/>
      <c r="E603" s="5"/>
      <c r="F603" s="5"/>
      <c r="G603" s="5"/>
      <c r="H603" s="5"/>
      <c r="I603" s="5"/>
      <c r="J603" s="5"/>
      <c r="K603" s="5"/>
      <c r="L603" s="5"/>
      <c r="M603" s="5"/>
    </row>
    <row r="604">
      <c r="A604" s="108"/>
      <c r="B604" s="108"/>
      <c r="C604" s="5"/>
      <c r="D604" s="5"/>
      <c r="E604" s="5"/>
      <c r="F604" s="5"/>
      <c r="G604" s="5"/>
      <c r="H604" s="5"/>
      <c r="I604" s="5"/>
      <c r="J604" s="5"/>
      <c r="K604" s="5"/>
      <c r="L604" s="5"/>
      <c r="M604" s="5"/>
    </row>
    <row r="605">
      <c r="A605" s="108"/>
      <c r="B605" s="108"/>
      <c r="C605" s="5"/>
      <c r="D605" s="5"/>
      <c r="E605" s="5"/>
      <c r="F605" s="5"/>
      <c r="G605" s="5"/>
      <c r="H605" s="5"/>
      <c r="I605" s="5"/>
      <c r="J605" s="5"/>
      <c r="K605" s="5"/>
      <c r="L605" s="5"/>
      <c r="M605" s="5"/>
    </row>
    <row r="606">
      <c r="A606" s="108"/>
      <c r="B606" s="108"/>
      <c r="C606" s="5"/>
      <c r="D606" s="5"/>
      <c r="E606" s="5"/>
      <c r="F606" s="5"/>
      <c r="G606" s="5"/>
      <c r="H606" s="5"/>
      <c r="I606" s="5"/>
      <c r="J606" s="5"/>
      <c r="K606" s="5"/>
      <c r="L606" s="5"/>
      <c r="M606" s="5"/>
    </row>
    <row r="607">
      <c r="A607" s="108"/>
      <c r="B607" s="108"/>
      <c r="C607" s="5"/>
      <c r="D607" s="5"/>
      <c r="E607" s="5"/>
      <c r="F607" s="5"/>
      <c r="G607" s="5"/>
      <c r="H607" s="5"/>
      <c r="I607" s="5"/>
      <c r="J607" s="5"/>
      <c r="K607" s="5"/>
      <c r="L607" s="5"/>
      <c r="M607" s="5"/>
    </row>
    <row r="608">
      <c r="A608" s="108"/>
      <c r="B608" s="108"/>
      <c r="C608" s="5"/>
      <c r="D608" s="5"/>
      <c r="E608" s="5"/>
      <c r="F608" s="5"/>
      <c r="G608" s="5"/>
      <c r="H608" s="5"/>
      <c r="I608" s="5"/>
      <c r="J608" s="5"/>
      <c r="K608" s="5"/>
      <c r="L608" s="5"/>
      <c r="M608" s="5"/>
    </row>
    <row r="609">
      <c r="A609" s="108"/>
      <c r="B609" s="108"/>
      <c r="C609" s="5"/>
      <c r="D609" s="5"/>
      <c r="E609" s="5"/>
      <c r="F609" s="5"/>
      <c r="G609" s="5"/>
      <c r="H609" s="5"/>
      <c r="I609" s="5"/>
      <c r="J609" s="5"/>
      <c r="K609" s="5"/>
      <c r="L609" s="5"/>
      <c r="M609" s="5"/>
    </row>
    <row r="610">
      <c r="A610" s="108"/>
      <c r="B610" s="108"/>
      <c r="C610" s="5"/>
      <c r="D610" s="5"/>
      <c r="E610" s="5"/>
      <c r="F610" s="5"/>
      <c r="G610" s="5"/>
      <c r="H610" s="5"/>
      <c r="I610" s="5"/>
      <c r="J610" s="5"/>
      <c r="K610" s="5"/>
      <c r="L610" s="5"/>
      <c r="M610" s="5"/>
    </row>
    <row r="611">
      <c r="A611" s="108"/>
      <c r="B611" s="108"/>
      <c r="C611" s="5"/>
      <c r="D611" s="5"/>
      <c r="E611" s="5"/>
      <c r="F611" s="5"/>
      <c r="G611" s="5"/>
      <c r="H611" s="5"/>
      <c r="I611" s="5"/>
      <c r="J611" s="5"/>
      <c r="K611" s="5"/>
      <c r="L611" s="5"/>
      <c r="M611" s="5"/>
    </row>
    <row r="612">
      <c r="A612" s="108"/>
      <c r="B612" s="108"/>
      <c r="C612" s="5"/>
      <c r="D612" s="5"/>
      <c r="E612" s="5"/>
      <c r="F612" s="5"/>
      <c r="G612" s="5"/>
      <c r="H612" s="5"/>
      <c r="I612" s="5"/>
      <c r="J612" s="5"/>
      <c r="K612" s="5"/>
      <c r="L612" s="5"/>
      <c r="M612" s="5"/>
    </row>
    <row r="613">
      <c r="A613" s="108"/>
      <c r="B613" s="108"/>
      <c r="C613" s="5"/>
      <c r="D613" s="5"/>
      <c r="E613" s="5"/>
      <c r="F613" s="5"/>
      <c r="G613" s="5"/>
      <c r="H613" s="5"/>
      <c r="I613" s="5"/>
      <c r="J613" s="5"/>
      <c r="K613" s="5"/>
      <c r="L613" s="5"/>
      <c r="M613" s="5"/>
    </row>
    <row r="614">
      <c r="A614" s="108"/>
      <c r="B614" s="108"/>
      <c r="C614" s="5"/>
      <c r="D614" s="5"/>
      <c r="E614" s="5"/>
      <c r="F614" s="5"/>
      <c r="G614" s="5"/>
      <c r="H614" s="5"/>
      <c r="I614" s="5"/>
      <c r="J614" s="5"/>
      <c r="K614" s="5"/>
      <c r="L614" s="5"/>
      <c r="M614" s="5"/>
    </row>
    <row r="615">
      <c r="A615" s="108"/>
      <c r="B615" s="108"/>
      <c r="C615" s="5"/>
      <c r="D615" s="5"/>
      <c r="E615" s="5"/>
      <c r="F615" s="5"/>
      <c r="G615" s="5"/>
      <c r="H615" s="5"/>
      <c r="I615" s="5"/>
      <c r="J615" s="5"/>
      <c r="K615" s="5"/>
      <c r="L615" s="5"/>
      <c r="M615" s="5"/>
    </row>
    <row r="616">
      <c r="A616" s="108"/>
      <c r="B616" s="108"/>
      <c r="C616" s="5"/>
      <c r="D616" s="5"/>
      <c r="E616" s="5"/>
      <c r="F616" s="5"/>
      <c r="G616" s="5"/>
      <c r="H616" s="5"/>
      <c r="I616" s="5"/>
      <c r="J616" s="5"/>
      <c r="K616" s="5"/>
      <c r="L616" s="5"/>
      <c r="M616" s="5"/>
    </row>
    <row r="617">
      <c r="A617" s="108"/>
      <c r="B617" s="108"/>
      <c r="C617" s="5"/>
      <c r="D617" s="5"/>
      <c r="E617" s="5"/>
      <c r="F617" s="5"/>
      <c r="G617" s="5"/>
      <c r="H617" s="5"/>
      <c r="I617" s="5"/>
      <c r="J617" s="5"/>
      <c r="K617" s="5"/>
      <c r="L617" s="5"/>
      <c r="M617" s="5"/>
    </row>
    <row r="618">
      <c r="A618" s="108"/>
      <c r="B618" s="108"/>
      <c r="C618" s="5"/>
      <c r="D618" s="5"/>
      <c r="E618" s="5"/>
      <c r="F618" s="5"/>
      <c r="G618" s="5"/>
      <c r="H618" s="5"/>
      <c r="I618" s="5"/>
      <c r="J618" s="5"/>
      <c r="K618" s="5"/>
      <c r="L618" s="5"/>
      <c r="M618" s="5"/>
    </row>
    <row r="619">
      <c r="A619" s="108"/>
      <c r="B619" s="108"/>
      <c r="C619" s="5"/>
      <c r="D619" s="5"/>
      <c r="E619" s="5"/>
      <c r="F619" s="5"/>
      <c r="G619" s="5"/>
      <c r="H619" s="5"/>
      <c r="I619" s="5"/>
      <c r="J619" s="5"/>
      <c r="K619" s="5"/>
      <c r="L619" s="5"/>
      <c r="M619" s="5"/>
    </row>
    <row r="620">
      <c r="A620" s="108"/>
      <c r="B620" s="108"/>
      <c r="C620" s="5"/>
      <c r="D620" s="5"/>
      <c r="E620" s="5"/>
      <c r="F620" s="5"/>
      <c r="G620" s="5"/>
      <c r="H620" s="5"/>
      <c r="I620" s="5"/>
      <c r="J620" s="5"/>
      <c r="K620" s="5"/>
      <c r="L620" s="5"/>
      <c r="M620" s="5"/>
    </row>
    <row r="621">
      <c r="A621" s="108"/>
      <c r="B621" s="108"/>
      <c r="C621" s="5"/>
      <c r="D621" s="5"/>
      <c r="E621" s="5"/>
      <c r="F621" s="5"/>
      <c r="G621" s="5"/>
      <c r="H621" s="5"/>
      <c r="I621" s="5"/>
      <c r="J621" s="5"/>
      <c r="K621" s="5"/>
      <c r="L621" s="5"/>
      <c r="M621" s="5"/>
    </row>
    <row r="622">
      <c r="A622" s="108"/>
      <c r="B622" s="108"/>
      <c r="C622" s="5"/>
      <c r="D622" s="5"/>
      <c r="E622" s="5"/>
      <c r="F622" s="5"/>
      <c r="G622" s="5"/>
      <c r="H622" s="5"/>
      <c r="I622" s="5"/>
      <c r="J622" s="5"/>
      <c r="K622" s="5"/>
      <c r="L622" s="5"/>
      <c r="M622" s="5"/>
    </row>
    <row r="623">
      <c r="A623" s="108"/>
      <c r="B623" s="108"/>
      <c r="C623" s="5"/>
      <c r="D623" s="5"/>
      <c r="E623" s="5"/>
      <c r="F623" s="5"/>
      <c r="G623" s="5"/>
      <c r="H623" s="5"/>
      <c r="I623" s="5"/>
      <c r="J623" s="5"/>
      <c r="K623" s="5"/>
      <c r="L623" s="5"/>
      <c r="M623" s="5"/>
    </row>
    <row r="624">
      <c r="A624" s="108"/>
      <c r="B624" s="108"/>
      <c r="C624" s="5"/>
      <c r="D624" s="5"/>
      <c r="E624" s="5"/>
      <c r="F624" s="5"/>
      <c r="G624" s="5"/>
      <c r="H624" s="5"/>
      <c r="I624" s="5"/>
      <c r="J624" s="5"/>
      <c r="K624" s="5"/>
      <c r="L624" s="5"/>
      <c r="M624" s="5"/>
    </row>
    <row r="625">
      <c r="A625" s="108"/>
      <c r="B625" s="108"/>
      <c r="C625" s="5"/>
      <c r="D625" s="5"/>
      <c r="E625" s="5"/>
      <c r="F625" s="5"/>
      <c r="G625" s="5"/>
      <c r="H625" s="5"/>
      <c r="I625" s="5"/>
      <c r="J625" s="5"/>
      <c r="K625" s="5"/>
      <c r="L625" s="5"/>
      <c r="M625" s="5"/>
    </row>
    <row r="626">
      <c r="A626" s="108"/>
      <c r="B626" s="108"/>
      <c r="C626" s="5"/>
      <c r="D626" s="5"/>
      <c r="E626" s="5"/>
      <c r="F626" s="5"/>
      <c r="G626" s="5"/>
      <c r="H626" s="5"/>
      <c r="I626" s="5"/>
      <c r="J626" s="5"/>
      <c r="K626" s="5"/>
      <c r="L626" s="5"/>
      <c r="M626" s="5"/>
    </row>
    <row r="627">
      <c r="A627" s="108"/>
      <c r="B627" s="108"/>
      <c r="C627" s="5"/>
      <c r="D627" s="5"/>
      <c r="E627" s="5"/>
      <c r="F627" s="5"/>
      <c r="G627" s="5"/>
      <c r="H627" s="5"/>
      <c r="I627" s="5"/>
      <c r="J627" s="5"/>
      <c r="K627" s="5"/>
      <c r="L627" s="5"/>
      <c r="M627" s="5"/>
    </row>
    <row r="628">
      <c r="A628" s="108"/>
      <c r="B628" s="108"/>
      <c r="C628" s="5"/>
      <c r="D628" s="5"/>
      <c r="E628" s="5"/>
      <c r="F628" s="5"/>
      <c r="G628" s="5"/>
      <c r="H628" s="5"/>
      <c r="I628" s="5"/>
      <c r="J628" s="5"/>
      <c r="K628" s="5"/>
      <c r="L628" s="5"/>
      <c r="M628" s="5"/>
    </row>
    <row r="629">
      <c r="A629" s="108"/>
      <c r="B629" s="108"/>
      <c r="C629" s="5"/>
      <c r="D629" s="5"/>
      <c r="E629" s="5"/>
      <c r="F629" s="5"/>
      <c r="G629" s="5"/>
      <c r="H629" s="5"/>
      <c r="I629" s="5"/>
      <c r="J629" s="5"/>
      <c r="K629" s="5"/>
      <c r="L629" s="5"/>
      <c r="M629" s="5"/>
    </row>
    <row r="630">
      <c r="A630" s="108"/>
      <c r="B630" s="108"/>
      <c r="C630" s="5"/>
      <c r="D630" s="5"/>
      <c r="E630" s="5"/>
      <c r="F630" s="5"/>
      <c r="G630" s="5"/>
      <c r="H630" s="5"/>
      <c r="I630" s="5"/>
      <c r="J630" s="5"/>
      <c r="K630" s="5"/>
      <c r="L630" s="5"/>
      <c r="M630" s="5"/>
    </row>
    <row r="631">
      <c r="A631" s="108"/>
      <c r="B631" s="108"/>
      <c r="C631" s="5"/>
      <c r="D631" s="5"/>
      <c r="E631" s="5"/>
      <c r="F631" s="5"/>
      <c r="G631" s="5"/>
      <c r="H631" s="5"/>
      <c r="I631" s="5"/>
      <c r="J631" s="5"/>
      <c r="K631" s="5"/>
      <c r="L631" s="5"/>
      <c r="M631" s="5"/>
    </row>
    <row r="632">
      <c r="A632" s="108"/>
      <c r="B632" s="108"/>
      <c r="C632" s="5"/>
      <c r="D632" s="5"/>
      <c r="E632" s="5"/>
      <c r="F632" s="5"/>
      <c r="G632" s="5"/>
      <c r="H632" s="5"/>
      <c r="I632" s="5"/>
      <c r="J632" s="5"/>
      <c r="K632" s="5"/>
      <c r="L632" s="5"/>
      <c r="M632" s="5"/>
    </row>
    <row r="633">
      <c r="A633" s="108"/>
      <c r="B633" s="108"/>
      <c r="C633" s="5"/>
      <c r="D633" s="5"/>
      <c r="E633" s="5"/>
      <c r="F633" s="5"/>
      <c r="G633" s="5"/>
      <c r="H633" s="5"/>
      <c r="I633" s="5"/>
      <c r="J633" s="5"/>
      <c r="K633" s="5"/>
      <c r="L633" s="5"/>
      <c r="M633" s="5"/>
    </row>
    <row r="634">
      <c r="A634" s="108"/>
      <c r="B634" s="108"/>
      <c r="C634" s="5"/>
      <c r="D634" s="5"/>
      <c r="E634" s="5"/>
      <c r="F634" s="5"/>
      <c r="G634" s="5"/>
      <c r="H634" s="5"/>
      <c r="I634" s="5"/>
      <c r="J634" s="5"/>
      <c r="K634" s="5"/>
      <c r="L634" s="5"/>
      <c r="M634" s="5"/>
    </row>
    <row r="635">
      <c r="A635" s="108"/>
      <c r="B635" s="108"/>
      <c r="C635" s="5"/>
      <c r="D635" s="5"/>
      <c r="E635" s="5"/>
      <c r="F635" s="5"/>
      <c r="G635" s="5"/>
      <c r="H635" s="5"/>
      <c r="I635" s="5"/>
      <c r="J635" s="5"/>
      <c r="K635" s="5"/>
      <c r="L635" s="5"/>
      <c r="M635" s="5"/>
    </row>
    <row r="636">
      <c r="A636" s="108"/>
      <c r="B636" s="108"/>
      <c r="C636" s="5"/>
      <c r="D636" s="5"/>
      <c r="E636" s="5"/>
      <c r="F636" s="5"/>
      <c r="G636" s="5"/>
      <c r="H636" s="5"/>
      <c r="I636" s="5"/>
      <c r="J636" s="5"/>
      <c r="K636" s="5"/>
      <c r="L636" s="5"/>
      <c r="M636" s="5"/>
    </row>
    <row r="637">
      <c r="A637" s="108"/>
      <c r="B637" s="108"/>
      <c r="C637" s="5"/>
      <c r="D637" s="5"/>
      <c r="E637" s="5"/>
      <c r="F637" s="5"/>
      <c r="G637" s="5"/>
      <c r="H637" s="5"/>
      <c r="I637" s="5"/>
      <c r="J637" s="5"/>
      <c r="K637" s="5"/>
      <c r="L637" s="5"/>
      <c r="M637" s="5"/>
    </row>
    <row r="638">
      <c r="A638" s="108"/>
      <c r="B638" s="108"/>
      <c r="C638" s="5"/>
      <c r="D638" s="5"/>
      <c r="E638" s="5"/>
      <c r="F638" s="5"/>
      <c r="G638" s="5"/>
      <c r="H638" s="5"/>
      <c r="I638" s="5"/>
      <c r="J638" s="5"/>
      <c r="K638" s="5"/>
      <c r="L638" s="5"/>
      <c r="M638" s="5"/>
    </row>
    <row r="639">
      <c r="A639" s="108"/>
      <c r="B639" s="108"/>
      <c r="C639" s="5"/>
      <c r="D639" s="5"/>
      <c r="E639" s="5"/>
      <c r="F639" s="5"/>
      <c r="G639" s="5"/>
      <c r="H639" s="5"/>
      <c r="I639" s="5"/>
      <c r="J639" s="5"/>
      <c r="K639" s="5"/>
      <c r="L639" s="5"/>
      <c r="M639" s="5"/>
    </row>
    <row r="640">
      <c r="A640" s="108"/>
      <c r="B640" s="108"/>
      <c r="C640" s="5"/>
      <c r="D640" s="5"/>
      <c r="E640" s="5"/>
      <c r="F640" s="5"/>
      <c r="G640" s="5"/>
      <c r="H640" s="5"/>
      <c r="I640" s="5"/>
      <c r="J640" s="5"/>
      <c r="K640" s="5"/>
      <c r="L640" s="5"/>
      <c r="M640" s="5"/>
    </row>
    <row r="641">
      <c r="A641" s="108"/>
      <c r="B641" s="108"/>
      <c r="C641" s="5"/>
      <c r="D641" s="5"/>
      <c r="E641" s="5"/>
      <c r="F641" s="5"/>
      <c r="G641" s="5"/>
      <c r="H641" s="5"/>
      <c r="I641" s="5"/>
      <c r="J641" s="5"/>
      <c r="K641" s="5"/>
      <c r="L641" s="5"/>
      <c r="M641" s="5"/>
    </row>
    <row r="642">
      <c r="A642" s="108"/>
      <c r="B642" s="108"/>
      <c r="C642" s="5"/>
      <c r="D642" s="5"/>
      <c r="E642" s="5"/>
      <c r="F642" s="5"/>
      <c r="G642" s="5"/>
      <c r="H642" s="5"/>
      <c r="I642" s="5"/>
      <c r="J642" s="5"/>
      <c r="K642" s="5"/>
      <c r="L642" s="5"/>
      <c r="M642" s="5"/>
    </row>
    <row r="643">
      <c r="A643" s="108"/>
      <c r="B643" s="108"/>
      <c r="C643" s="5"/>
      <c r="D643" s="5"/>
      <c r="E643" s="5"/>
      <c r="F643" s="5"/>
      <c r="G643" s="5"/>
      <c r="H643" s="5"/>
      <c r="I643" s="5"/>
      <c r="J643" s="5"/>
      <c r="K643" s="5"/>
      <c r="L643" s="5"/>
      <c r="M643" s="5"/>
    </row>
    <row r="644">
      <c r="A644" s="108"/>
      <c r="B644" s="108"/>
      <c r="C644" s="5"/>
      <c r="D644" s="5"/>
      <c r="E644" s="5"/>
      <c r="F644" s="5"/>
      <c r="G644" s="5"/>
      <c r="H644" s="5"/>
      <c r="I644" s="5"/>
      <c r="J644" s="5"/>
      <c r="K644" s="5"/>
      <c r="L644" s="5"/>
      <c r="M644" s="5"/>
    </row>
    <row r="645">
      <c r="A645" s="108"/>
      <c r="B645" s="108"/>
      <c r="C645" s="5"/>
      <c r="D645" s="5"/>
      <c r="E645" s="5"/>
      <c r="F645" s="5"/>
      <c r="G645" s="5"/>
      <c r="H645" s="5"/>
      <c r="I645" s="5"/>
      <c r="J645" s="5"/>
      <c r="K645" s="5"/>
      <c r="L645" s="5"/>
      <c r="M645" s="5"/>
    </row>
    <row r="646">
      <c r="A646" s="108"/>
      <c r="B646" s="108"/>
      <c r="C646" s="5"/>
      <c r="D646" s="5"/>
      <c r="E646" s="5"/>
      <c r="F646" s="5"/>
      <c r="G646" s="5"/>
      <c r="H646" s="5"/>
      <c r="I646" s="5"/>
      <c r="J646" s="5"/>
      <c r="K646" s="5"/>
      <c r="L646" s="5"/>
      <c r="M646" s="5"/>
    </row>
    <row r="647">
      <c r="A647" s="108"/>
      <c r="B647" s="108"/>
      <c r="C647" s="5"/>
      <c r="D647" s="5"/>
      <c r="E647" s="5"/>
      <c r="F647" s="5"/>
      <c r="G647" s="5"/>
      <c r="H647" s="5"/>
      <c r="I647" s="5"/>
      <c r="J647" s="5"/>
      <c r="K647" s="5"/>
      <c r="L647" s="5"/>
      <c r="M647" s="5"/>
    </row>
    <row r="648">
      <c r="A648" s="108"/>
      <c r="B648" s="108"/>
      <c r="C648" s="5"/>
      <c r="D648" s="5"/>
      <c r="E648" s="5"/>
      <c r="F648" s="5"/>
      <c r="G648" s="5"/>
      <c r="H648" s="5"/>
      <c r="I648" s="5"/>
      <c r="J648" s="5"/>
      <c r="K648" s="5"/>
      <c r="L648" s="5"/>
      <c r="M648" s="5"/>
    </row>
    <row r="649">
      <c r="A649" s="108"/>
      <c r="B649" s="108"/>
      <c r="C649" s="5"/>
      <c r="D649" s="5"/>
      <c r="E649" s="5"/>
      <c r="F649" s="5"/>
      <c r="G649" s="5"/>
      <c r="H649" s="5"/>
      <c r="I649" s="5"/>
      <c r="J649" s="5"/>
      <c r="K649" s="5"/>
      <c r="L649" s="5"/>
      <c r="M649" s="5"/>
    </row>
    <row r="650">
      <c r="A650" s="108"/>
      <c r="B650" s="108"/>
      <c r="C650" s="5"/>
      <c r="D650" s="5"/>
      <c r="E650" s="5"/>
      <c r="F650" s="5"/>
      <c r="G650" s="5"/>
      <c r="H650" s="5"/>
      <c r="I650" s="5"/>
      <c r="J650" s="5"/>
      <c r="K650" s="5"/>
      <c r="L650" s="5"/>
      <c r="M650" s="5"/>
    </row>
    <row r="651">
      <c r="A651" s="108"/>
      <c r="B651" s="108"/>
      <c r="C651" s="5"/>
      <c r="D651" s="5"/>
      <c r="E651" s="5"/>
      <c r="F651" s="5"/>
      <c r="G651" s="5"/>
      <c r="H651" s="5"/>
      <c r="I651" s="5"/>
      <c r="J651" s="5"/>
      <c r="K651" s="5"/>
      <c r="L651" s="5"/>
      <c r="M651" s="5"/>
    </row>
    <row r="652">
      <c r="A652" s="108"/>
      <c r="B652" s="108"/>
      <c r="C652" s="5"/>
      <c r="D652" s="5"/>
      <c r="E652" s="5"/>
      <c r="F652" s="5"/>
      <c r="G652" s="5"/>
      <c r="H652" s="5"/>
      <c r="I652" s="5"/>
      <c r="J652" s="5"/>
      <c r="K652" s="5"/>
      <c r="L652" s="5"/>
      <c r="M652" s="5"/>
    </row>
    <row r="653">
      <c r="A653" s="108"/>
      <c r="B653" s="108"/>
      <c r="C653" s="5"/>
      <c r="D653" s="5"/>
      <c r="E653" s="5"/>
      <c r="F653" s="5"/>
      <c r="G653" s="5"/>
      <c r="H653" s="5"/>
      <c r="I653" s="5"/>
      <c r="J653" s="5"/>
      <c r="K653" s="5"/>
      <c r="L653" s="5"/>
      <c r="M653" s="5"/>
    </row>
    <row r="654">
      <c r="A654" s="108"/>
      <c r="B654" s="108"/>
      <c r="C654" s="5"/>
      <c r="D654" s="5"/>
      <c r="E654" s="5"/>
      <c r="F654" s="5"/>
      <c r="G654" s="5"/>
      <c r="H654" s="5"/>
      <c r="I654" s="5"/>
      <c r="J654" s="5"/>
      <c r="K654" s="5"/>
      <c r="L654" s="5"/>
      <c r="M654" s="5"/>
    </row>
    <row r="655">
      <c r="A655" s="108"/>
      <c r="B655" s="108"/>
      <c r="C655" s="5"/>
      <c r="D655" s="5"/>
      <c r="E655" s="5"/>
      <c r="F655" s="5"/>
      <c r="G655" s="5"/>
      <c r="H655" s="5"/>
      <c r="I655" s="5"/>
      <c r="J655" s="5"/>
      <c r="K655" s="5"/>
      <c r="L655" s="5"/>
      <c r="M655" s="5"/>
    </row>
    <row r="656">
      <c r="A656" s="108"/>
      <c r="B656" s="108"/>
      <c r="C656" s="5"/>
      <c r="D656" s="5"/>
      <c r="E656" s="5"/>
      <c r="F656" s="5"/>
      <c r="G656" s="5"/>
      <c r="H656" s="5"/>
      <c r="I656" s="5"/>
      <c r="J656" s="5"/>
      <c r="K656" s="5"/>
      <c r="L656" s="5"/>
      <c r="M656" s="5"/>
    </row>
    <row r="657">
      <c r="A657" s="108"/>
      <c r="B657" s="108"/>
      <c r="C657" s="5"/>
      <c r="D657" s="5"/>
      <c r="E657" s="5"/>
      <c r="F657" s="5"/>
      <c r="G657" s="5"/>
      <c r="H657" s="5"/>
      <c r="I657" s="5"/>
      <c r="J657" s="5"/>
      <c r="K657" s="5"/>
      <c r="L657" s="5"/>
      <c r="M657" s="5"/>
    </row>
    <row r="658">
      <c r="A658" s="108"/>
      <c r="B658" s="108"/>
      <c r="C658" s="5"/>
      <c r="D658" s="5"/>
      <c r="E658" s="5"/>
      <c r="F658" s="5"/>
      <c r="G658" s="5"/>
      <c r="H658" s="5"/>
      <c r="I658" s="5"/>
      <c r="J658" s="5"/>
      <c r="K658" s="5"/>
      <c r="L658" s="5"/>
      <c r="M658" s="5"/>
    </row>
    <row r="659">
      <c r="A659" s="108"/>
      <c r="B659" s="108"/>
      <c r="C659" s="5"/>
      <c r="D659" s="5"/>
      <c r="E659" s="5"/>
      <c r="F659" s="5"/>
      <c r="G659" s="5"/>
      <c r="H659" s="5"/>
      <c r="I659" s="5"/>
      <c r="J659" s="5"/>
      <c r="K659" s="5"/>
      <c r="L659" s="5"/>
      <c r="M659" s="5"/>
    </row>
    <row r="660">
      <c r="A660" s="108"/>
      <c r="B660" s="108"/>
      <c r="C660" s="5"/>
      <c r="D660" s="5"/>
      <c r="E660" s="5"/>
      <c r="F660" s="5"/>
      <c r="G660" s="5"/>
      <c r="H660" s="5"/>
      <c r="I660" s="5"/>
      <c r="J660" s="5"/>
      <c r="K660" s="5"/>
      <c r="L660" s="5"/>
      <c r="M660" s="5"/>
    </row>
    <row r="661">
      <c r="A661" s="108"/>
      <c r="B661" s="108"/>
      <c r="C661" s="5"/>
      <c r="D661" s="5"/>
      <c r="E661" s="5"/>
      <c r="F661" s="5"/>
      <c r="G661" s="5"/>
      <c r="H661" s="5"/>
      <c r="I661" s="5"/>
      <c r="J661" s="5"/>
      <c r="K661" s="5"/>
      <c r="L661" s="5"/>
      <c r="M661" s="5"/>
    </row>
    <row r="662">
      <c r="A662" s="108"/>
      <c r="B662" s="108"/>
      <c r="C662" s="5"/>
      <c r="D662" s="5"/>
      <c r="E662" s="5"/>
      <c r="F662" s="5"/>
      <c r="G662" s="5"/>
      <c r="H662" s="5"/>
      <c r="I662" s="5"/>
      <c r="J662" s="5"/>
      <c r="K662" s="5"/>
      <c r="L662" s="5"/>
      <c r="M662" s="5"/>
    </row>
    <row r="663">
      <c r="A663" s="108"/>
      <c r="B663" s="108"/>
      <c r="C663" s="5"/>
      <c r="D663" s="5"/>
      <c r="E663" s="5"/>
      <c r="F663" s="5"/>
      <c r="G663" s="5"/>
      <c r="H663" s="5"/>
      <c r="I663" s="5"/>
      <c r="J663" s="5"/>
      <c r="K663" s="5"/>
      <c r="L663" s="5"/>
      <c r="M663" s="5"/>
    </row>
    <row r="664">
      <c r="A664" s="108"/>
      <c r="B664" s="108"/>
      <c r="C664" s="5"/>
      <c r="D664" s="5"/>
      <c r="E664" s="5"/>
      <c r="F664" s="5"/>
      <c r="G664" s="5"/>
      <c r="H664" s="5"/>
      <c r="I664" s="5"/>
      <c r="J664" s="5"/>
      <c r="K664" s="5"/>
      <c r="L664" s="5"/>
      <c r="M664" s="5"/>
    </row>
    <row r="665">
      <c r="A665" s="108"/>
      <c r="B665" s="108"/>
      <c r="C665" s="5"/>
      <c r="D665" s="5"/>
      <c r="E665" s="5"/>
      <c r="F665" s="5"/>
      <c r="G665" s="5"/>
      <c r="H665" s="5"/>
      <c r="I665" s="5"/>
      <c r="J665" s="5"/>
      <c r="K665" s="5"/>
      <c r="L665" s="5"/>
      <c r="M665" s="5"/>
    </row>
    <row r="666">
      <c r="A666" s="108"/>
      <c r="B666" s="108"/>
      <c r="C666" s="5"/>
      <c r="D666" s="5"/>
      <c r="E666" s="5"/>
      <c r="F666" s="5"/>
      <c r="G666" s="5"/>
      <c r="H666" s="5"/>
      <c r="I666" s="5"/>
      <c r="J666" s="5"/>
      <c r="K666" s="5"/>
      <c r="L666" s="5"/>
      <c r="M666" s="5"/>
    </row>
    <row r="667">
      <c r="A667" s="108"/>
      <c r="B667" s="108"/>
      <c r="C667" s="5"/>
      <c r="D667" s="5"/>
      <c r="E667" s="5"/>
      <c r="F667" s="5"/>
      <c r="G667" s="5"/>
      <c r="H667" s="5"/>
      <c r="I667" s="5"/>
      <c r="J667" s="5"/>
      <c r="K667" s="5"/>
      <c r="L667" s="5"/>
      <c r="M667" s="5"/>
    </row>
    <row r="668">
      <c r="A668" s="108"/>
      <c r="B668" s="108"/>
      <c r="C668" s="5"/>
      <c r="D668" s="5"/>
      <c r="E668" s="5"/>
      <c r="F668" s="5"/>
      <c r="G668" s="5"/>
      <c r="H668" s="5"/>
      <c r="I668" s="5"/>
      <c r="J668" s="5"/>
      <c r="K668" s="5"/>
      <c r="L668" s="5"/>
      <c r="M668" s="5"/>
    </row>
    <row r="669">
      <c r="A669" s="108"/>
      <c r="B669" s="108"/>
      <c r="C669" s="5"/>
      <c r="D669" s="5"/>
      <c r="E669" s="5"/>
      <c r="F669" s="5"/>
      <c r="G669" s="5"/>
      <c r="H669" s="5"/>
      <c r="I669" s="5"/>
      <c r="J669" s="5"/>
      <c r="K669" s="5"/>
      <c r="L669" s="5"/>
      <c r="M669" s="5"/>
    </row>
    <row r="670">
      <c r="A670" s="108"/>
      <c r="B670" s="108"/>
      <c r="C670" s="5"/>
      <c r="D670" s="5"/>
      <c r="E670" s="5"/>
      <c r="F670" s="5"/>
      <c r="G670" s="5"/>
      <c r="H670" s="5"/>
      <c r="I670" s="5"/>
      <c r="J670" s="5"/>
      <c r="K670" s="5"/>
      <c r="L670" s="5"/>
      <c r="M670" s="5"/>
    </row>
    <row r="671">
      <c r="A671" s="108"/>
      <c r="B671" s="108"/>
      <c r="C671" s="5"/>
      <c r="D671" s="5"/>
      <c r="E671" s="5"/>
      <c r="F671" s="5"/>
      <c r="G671" s="5"/>
      <c r="H671" s="5"/>
      <c r="I671" s="5"/>
      <c r="J671" s="5"/>
      <c r="K671" s="5"/>
      <c r="L671" s="5"/>
      <c r="M671" s="5"/>
    </row>
    <row r="672">
      <c r="A672" s="108"/>
      <c r="B672" s="108"/>
      <c r="C672" s="5"/>
      <c r="D672" s="5"/>
      <c r="E672" s="5"/>
      <c r="F672" s="5"/>
      <c r="G672" s="5"/>
      <c r="H672" s="5"/>
      <c r="I672" s="5"/>
      <c r="J672" s="5"/>
      <c r="K672" s="5"/>
      <c r="L672" s="5"/>
      <c r="M672" s="5"/>
    </row>
    <row r="673">
      <c r="A673" s="108"/>
      <c r="B673" s="108"/>
      <c r="C673" s="5"/>
      <c r="D673" s="5"/>
      <c r="E673" s="5"/>
      <c r="F673" s="5"/>
      <c r="G673" s="5"/>
      <c r="H673" s="5"/>
      <c r="I673" s="5"/>
      <c r="J673" s="5"/>
      <c r="K673" s="5"/>
      <c r="L673" s="5"/>
      <c r="M673" s="5"/>
    </row>
    <row r="674">
      <c r="A674" s="108"/>
      <c r="B674" s="108"/>
      <c r="C674" s="5"/>
      <c r="D674" s="5"/>
      <c r="E674" s="5"/>
      <c r="F674" s="5"/>
      <c r="G674" s="5"/>
      <c r="H674" s="5"/>
      <c r="I674" s="5"/>
      <c r="J674" s="5"/>
      <c r="K674" s="5"/>
      <c r="L674" s="5"/>
      <c r="M674" s="5"/>
    </row>
    <row r="675">
      <c r="A675" s="108"/>
      <c r="B675" s="108"/>
      <c r="C675" s="5"/>
      <c r="D675" s="5"/>
      <c r="E675" s="5"/>
      <c r="F675" s="5"/>
      <c r="G675" s="5"/>
      <c r="H675" s="5"/>
      <c r="I675" s="5"/>
      <c r="J675" s="5"/>
      <c r="K675" s="5"/>
      <c r="L675" s="5"/>
      <c r="M675" s="5"/>
    </row>
    <row r="676">
      <c r="A676" s="108"/>
      <c r="B676" s="108"/>
      <c r="C676" s="5"/>
      <c r="D676" s="5"/>
      <c r="E676" s="5"/>
      <c r="F676" s="5"/>
      <c r="G676" s="5"/>
      <c r="H676" s="5"/>
      <c r="I676" s="5"/>
      <c r="J676" s="5"/>
      <c r="K676" s="5"/>
      <c r="L676" s="5"/>
      <c r="M676" s="5"/>
    </row>
    <row r="677">
      <c r="A677" s="108"/>
      <c r="B677" s="108"/>
      <c r="C677" s="5"/>
      <c r="D677" s="5"/>
      <c r="E677" s="5"/>
      <c r="F677" s="5"/>
      <c r="G677" s="5"/>
      <c r="H677" s="5"/>
      <c r="I677" s="5"/>
      <c r="J677" s="5"/>
      <c r="K677" s="5"/>
      <c r="L677" s="5"/>
      <c r="M677" s="5"/>
    </row>
    <row r="678">
      <c r="A678" s="108"/>
      <c r="B678" s="108"/>
      <c r="C678" s="5"/>
      <c r="D678" s="5"/>
      <c r="E678" s="5"/>
      <c r="F678" s="5"/>
      <c r="G678" s="5"/>
      <c r="H678" s="5"/>
      <c r="I678" s="5"/>
      <c r="J678" s="5"/>
      <c r="K678" s="5"/>
      <c r="L678" s="5"/>
      <c r="M678" s="5"/>
    </row>
    <row r="679">
      <c r="A679" s="108"/>
      <c r="B679" s="108"/>
      <c r="C679" s="5"/>
      <c r="D679" s="5"/>
      <c r="E679" s="5"/>
      <c r="F679" s="5"/>
      <c r="G679" s="5"/>
      <c r="H679" s="5"/>
      <c r="I679" s="5"/>
      <c r="J679" s="5"/>
      <c r="K679" s="5"/>
      <c r="L679" s="5"/>
      <c r="M679" s="5"/>
    </row>
    <row r="680">
      <c r="A680" s="108"/>
      <c r="B680" s="108"/>
      <c r="C680" s="5"/>
      <c r="D680" s="5"/>
      <c r="E680" s="5"/>
      <c r="F680" s="5"/>
      <c r="G680" s="5"/>
      <c r="H680" s="5"/>
      <c r="I680" s="5"/>
      <c r="J680" s="5"/>
      <c r="K680" s="5"/>
      <c r="L680" s="5"/>
      <c r="M680" s="5"/>
    </row>
    <row r="681">
      <c r="A681" s="108"/>
      <c r="B681" s="108"/>
      <c r="C681" s="5"/>
      <c r="D681" s="5"/>
      <c r="E681" s="5"/>
      <c r="F681" s="5"/>
      <c r="G681" s="5"/>
      <c r="H681" s="5"/>
      <c r="I681" s="5"/>
      <c r="J681" s="5"/>
      <c r="K681" s="5"/>
      <c r="L681" s="5"/>
      <c r="M681" s="5"/>
    </row>
    <row r="682">
      <c r="A682" s="108"/>
      <c r="B682" s="108"/>
      <c r="C682" s="5"/>
      <c r="D682" s="5"/>
      <c r="E682" s="5"/>
      <c r="F682" s="5"/>
      <c r="G682" s="5"/>
      <c r="H682" s="5"/>
      <c r="I682" s="5"/>
      <c r="J682" s="5"/>
      <c r="K682" s="5"/>
      <c r="L682" s="5"/>
      <c r="M682" s="5"/>
    </row>
    <row r="683">
      <c r="A683" s="108"/>
      <c r="B683" s="108"/>
      <c r="C683" s="5"/>
      <c r="D683" s="5"/>
      <c r="E683" s="5"/>
      <c r="F683" s="5"/>
      <c r="G683" s="5"/>
      <c r="H683" s="5"/>
      <c r="I683" s="5"/>
      <c r="J683" s="5"/>
      <c r="K683" s="5"/>
      <c r="L683" s="5"/>
      <c r="M683" s="5"/>
    </row>
    <row r="684">
      <c r="A684" s="108"/>
      <c r="B684" s="108"/>
      <c r="C684" s="5"/>
      <c r="D684" s="5"/>
      <c r="E684" s="5"/>
      <c r="F684" s="5"/>
      <c r="G684" s="5"/>
      <c r="H684" s="5"/>
      <c r="I684" s="5"/>
      <c r="J684" s="5"/>
      <c r="K684" s="5"/>
      <c r="L684" s="5"/>
      <c r="M684" s="5"/>
    </row>
    <row r="685">
      <c r="A685" s="108"/>
      <c r="B685" s="108"/>
      <c r="C685" s="5"/>
      <c r="D685" s="5"/>
      <c r="E685" s="5"/>
      <c r="F685" s="5"/>
      <c r="G685" s="5"/>
      <c r="H685" s="5"/>
      <c r="I685" s="5"/>
      <c r="J685" s="5"/>
      <c r="K685" s="5"/>
      <c r="L685" s="5"/>
      <c r="M685" s="5"/>
    </row>
    <row r="686">
      <c r="A686" s="108"/>
      <c r="B686" s="108"/>
      <c r="C686" s="5"/>
      <c r="D686" s="5"/>
      <c r="E686" s="5"/>
      <c r="F686" s="5"/>
      <c r="G686" s="5"/>
      <c r="H686" s="5"/>
      <c r="I686" s="5"/>
      <c r="J686" s="5"/>
      <c r="K686" s="5"/>
      <c r="L686" s="5"/>
      <c r="M686" s="5"/>
    </row>
    <row r="687">
      <c r="A687" s="108"/>
      <c r="B687" s="108"/>
      <c r="C687" s="5"/>
      <c r="D687" s="5"/>
      <c r="E687" s="5"/>
      <c r="F687" s="5"/>
      <c r="G687" s="5"/>
      <c r="H687" s="5"/>
      <c r="I687" s="5"/>
      <c r="J687" s="5"/>
      <c r="K687" s="5"/>
      <c r="L687" s="5"/>
      <c r="M687" s="5"/>
    </row>
    <row r="688">
      <c r="A688" s="108"/>
      <c r="B688" s="108"/>
      <c r="C688" s="5"/>
      <c r="D688" s="5"/>
      <c r="E688" s="5"/>
      <c r="F688" s="5"/>
      <c r="G688" s="5"/>
      <c r="H688" s="5"/>
      <c r="I688" s="5"/>
      <c r="J688" s="5"/>
      <c r="K688" s="5"/>
      <c r="L688" s="5"/>
      <c r="M688" s="5"/>
    </row>
    <row r="689">
      <c r="A689" s="108"/>
      <c r="B689" s="108"/>
      <c r="C689" s="5"/>
      <c r="D689" s="5"/>
      <c r="E689" s="5"/>
      <c r="F689" s="5"/>
      <c r="G689" s="5"/>
      <c r="H689" s="5"/>
      <c r="I689" s="5"/>
      <c r="J689" s="5"/>
      <c r="K689" s="5"/>
      <c r="L689" s="5"/>
      <c r="M689" s="5"/>
    </row>
    <row r="690">
      <c r="A690" s="108"/>
      <c r="B690" s="108"/>
      <c r="C690" s="5"/>
      <c r="D690" s="5"/>
      <c r="E690" s="5"/>
      <c r="F690" s="5"/>
      <c r="G690" s="5"/>
      <c r="H690" s="5"/>
      <c r="I690" s="5"/>
      <c r="J690" s="5"/>
      <c r="K690" s="5"/>
      <c r="L690" s="5"/>
      <c r="M690" s="5"/>
    </row>
    <row r="691">
      <c r="A691" s="108"/>
      <c r="B691" s="108"/>
      <c r="C691" s="5"/>
      <c r="D691" s="5"/>
      <c r="E691" s="5"/>
      <c r="F691" s="5"/>
      <c r="G691" s="5"/>
      <c r="H691" s="5"/>
      <c r="I691" s="5"/>
      <c r="J691" s="5"/>
      <c r="K691" s="5"/>
      <c r="L691" s="5"/>
      <c r="M691" s="5"/>
    </row>
    <row r="692">
      <c r="A692" s="108"/>
      <c r="B692" s="108"/>
      <c r="C692" s="5"/>
      <c r="D692" s="5"/>
      <c r="E692" s="5"/>
      <c r="F692" s="5"/>
      <c r="G692" s="5"/>
      <c r="H692" s="5"/>
      <c r="I692" s="5"/>
      <c r="J692" s="5"/>
      <c r="K692" s="5"/>
      <c r="L692" s="5"/>
      <c r="M692" s="5"/>
    </row>
    <row r="693">
      <c r="A693" s="108"/>
      <c r="B693" s="108"/>
      <c r="C693" s="5"/>
      <c r="D693" s="5"/>
      <c r="E693" s="5"/>
      <c r="F693" s="5"/>
      <c r="G693" s="5"/>
      <c r="H693" s="5"/>
      <c r="I693" s="5"/>
      <c r="J693" s="5"/>
      <c r="K693" s="5"/>
      <c r="L693" s="5"/>
      <c r="M693" s="5"/>
    </row>
    <row r="694">
      <c r="A694" s="108"/>
      <c r="B694" s="108"/>
      <c r="C694" s="5"/>
      <c r="D694" s="5"/>
      <c r="E694" s="5"/>
      <c r="F694" s="5"/>
      <c r="G694" s="5"/>
      <c r="H694" s="5"/>
      <c r="I694" s="5"/>
      <c r="J694" s="5"/>
      <c r="K694" s="5"/>
      <c r="L694" s="5"/>
      <c r="M694" s="5"/>
    </row>
    <row r="695">
      <c r="A695" s="108"/>
      <c r="B695" s="108"/>
      <c r="C695" s="5"/>
      <c r="D695" s="5"/>
      <c r="E695" s="5"/>
      <c r="F695" s="5"/>
      <c r="G695" s="5"/>
      <c r="H695" s="5"/>
      <c r="I695" s="5"/>
      <c r="J695" s="5"/>
      <c r="K695" s="5"/>
      <c r="L695" s="5"/>
      <c r="M695" s="5"/>
    </row>
    <row r="696">
      <c r="A696" s="108"/>
      <c r="B696" s="108"/>
      <c r="C696" s="5"/>
      <c r="D696" s="5"/>
      <c r="E696" s="5"/>
      <c r="F696" s="5"/>
      <c r="G696" s="5"/>
      <c r="H696" s="5"/>
      <c r="I696" s="5"/>
      <c r="J696" s="5"/>
      <c r="K696" s="5"/>
      <c r="L696" s="5"/>
      <c r="M696" s="5"/>
    </row>
    <row r="697">
      <c r="A697" s="108"/>
      <c r="B697" s="108"/>
      <c r="C697" s="5"/>
      <c r="D697" s="5"/>
      <c r="E697" s="5"/>
      <c r="F697" s="5"/>
      <c r="G697" s="5"/>
      <c r="H697" s="5"/>
      <c r="I697" s="5"/>
      <c r="J697" s="5"/>
      <c r="K697" s="5"/>
      <c r="L697" s="5"/>
      <c r="M697" s="5"/>
    </row>
    <row r="698">
      <c r="A698" s="108"/>
      <c r="B698" s="108"/>
      <c r="C698" s="5"/>
      <c r="D698" s="5"/>
      <c r="E698" s="5"/>
      <c r="F698" s="5"/>
      <c r="G698" s="5"/>
      <c r="H698" s="5"/>
      <c r="I698" s="5"/>
      <c r="J698" s="5"/>
      <c r="K698" s="5"/>
      <c r="L698" s="5"/>
      <c r="M698" s="5"/>
    </row>
    <row r="699">
      <c r="A699" s="108"/>
      <c r="B699" s="108"/>
      <c r="C699" s="5"/>
      <c r="D699" s="5"/>
      <c r="E699" s="5"/>
      <c r="F699" s="5"/>
      <c r="G699" s="5"/>
      <c r="H699" s="5"/>
      <c r="I699" s="5"/>
      <c r="J699" s="5"/>
      <c r="K699" s="5"/>
      <c r="L699" s="5"/>
      <c r="M699" s="5"/>
    </row>
    <row r="700">
      <c r="A700" s="108"/>
      <c r="B700" s="108"/>
      <c r="C700" s="5"/>
      <c r="D700" s="5"/>
      <c r="E700" s="5"/>
      <c r="F700" s="5"/>
      <c r="G700" s="5"/>
      <c r="H700" s="5"/>
      <c r="I700" s="5"/>
      <c r="J700" s="5"/>
      <c r="K700" s="5"/>
      <c r="L700" s="5"/>
      <c r="M700" s="5"/>
    </row>
    <row r="701">
      <c r="A701" s="108"/>
      <c r="B701" s="108"/>
      <c r="C701" s="5"/>
      <c r="D701" s="5"/>
      <c r="E701" s="5"/>
      <c r="F701" s="5"/>
      <c r="G701" s="5"/>
      <c r="H701" s="5"/>
      <c r="I701" s="5"/>
      <c r="J701" s="5"/>
      <c r="K701" s="5"/>
      <c r="L701" s="5"/>
      <c r="M701" s="5"/>
    </row>
    <row r="702">
      <c r="A702" s="108"/>
      <c r="B702" s="108"/>
      <c r="C702" s="5"/>
      <c r="D702" s="5"/>
      <c r="E702" s="5"/>
      <c r="F702" s="5"/>
      <c r="G702" s="5"/>
      <c r="H702" s="5"/>
      <c r="I702" s="5"/>
      <c r="J702" s="5"/>
      <c r="K702" s="5"/>
      <c r="L702" s="5"/>
      <c r="M702" s="5"/>
    </row>
    <row r="703">
      <c r="A703" s="108"/>
      <c r="B703" s="108"/>
      <c r="C703" s="5"/>
      <c r="D703" s="5"/>
      <c r="E703" s="5"/>
      <c r="F703" s="5"/>
      <c r="G703" s="5"/>
      <c r="H703" s="5"/>
      <c r="I703" s="5"/>
      <c r="J703" s="5"/>
      <c r="K703" s="5"/>
      <c r="L703" s="5"/>
      <c r="M703" s="5"/>
    </row>
    <row r="704">
      <c r="A704" s="108"/>
      <c r="B704" s="108"/>
      <c r="C704" s="5"/>
      <c r="D704" s="5"/>
      <c r="E704" s="5"/>
      <c r="F704" s="5"/>
      <c r="G704" s="5"/>
      <c r="H704" s="5"/>
      <c r="I704" s="5"/>
      <c r="J704" s="5"/>
      <c r="K704" s="5"/>
      <c r="L704" s="5"/>
      <c r="M704" s="5"/>
    </row>
    <row r="705">
      <c r="A705" s="108"/>
      <c r="B705" s="108"/>
      <c r="C705" s="5"/>
      <c r="D705" s="5"/>
      <c r="E705" s="5"/>
      <c r="F705" s="5"/>
      <c r="G705" s="5"/>
      <c r="H705" s="5"/>
      <c r="I705" s="5"/>
      <c r="J705" s="5"/>
      <c r="K705" s="5"/>
      <c r="L705" s="5"/>
      <c r="M705" s="5"/>
    </row>
    <row r="706">
      <c r="A706" s="108"/>
      <c r="B706" s="108"/>
      <c r="C706" s="5"/>
      <c r="D706" s="5"/>
      <c r="E706" s="5"/>
      <c r="F706" s="5"/>
      <c r="G706" s="5"/>
      <c r="H706" s="5"/>
      <c r="I706" s="5"/>
      <c r="J706" s="5"/>
      <c r="K706" s="5"/>
      <c r="L706" s="5"/>
      <c r="M706" s="5"/>
    </row>
    <row r="707">
      <c r="A707" s="108"/>
      <c r="B707" s="108"/>
      <c r="C707" s="5"/>
      <c r="D707" s="5"/>
      <c r="E707" s="5"/>
      <c r="F707" s="5"/>
      <c r="G707" s="5"/>
      <c r="H707" s="5"/>
      <c r="I707" s="5"/>
      <c r="J707" s="5"/>
      <c r="K707" s="5"/>
      <c r="L707" s="5"/>
      <c r="M707" s="5"/>
    </row>
    <row r="708">
      <c r="A708" s="108"/>
      <c r="B708" s="108"/>
      <c r="C708" s="5"/>
      <c r="D708" s="5"/>
      <c r="E708" s="5"/>
      <c r="F708" s="5"/>
      <c r="G708" s="5"/>
      <c r="H708" s="5"/>
      <c r="I708" s="5"/>
      <c r="J708" s="5"/>
      <c r="K708" s="5"/>
      <c r="L708" s="5"/>
      <c r="M708" s="5"/>
    </row>
    <row r="709">
      <c r="A709" s="108"/>
      <c r="B709" s="108"/>
      <c r="C709" s="5"/>
      <c r="D709" s="5"/>
      <c r="E709" s="5"/>
      <c r="F709" s="5"/>
      <c r="G709" s="5"/>
      <c r="H709" s="5"/>
      <c r="I709" s="5"/>
      <c r="J709" s="5"/>
      <c r="K709" s="5"/>
      <c r="L709" s="5"/>
      <c r="M709" s="5"/>
    </row>
    <row r="710">
      <c r="A710" s="108"/>
      <c r="B710" s="108"/>
      <c r="C710" s="5"/>
      <c r="D710" s="5"/>
      <c r="E710" s="5"/>
      <c r="F710" s="5"/>
      <c r="G710" s="5"/>
      <c r="H710" s="5"/>
      <c r="I710" s="5"/>
      <c r="J710" s="5"/>
      <c r="K710" s="5"/>
      <c r="L710" s="5"/>
      <c r="M710" s="5"/>
    </row>
    <row r="711">
      <c r="A711" s="108"/>
      <c r="B711" s="108"/>
      <c r="C711" s="5"/>
      <c r="D711" s="5"/>
      <c r="E711" s="5"/>
      <c r="F711" s="5"/>
      <c r="G711" s="5"/>
      <c r="H711" s="5"/>
      <c r="I711" s="5"/>
      <c r="J711" s="5"/>
      <c r="K711" s="5"/>
      <c r="L711" s="5"/>
      <c r="M711" s="5"/>
    </row>
    <row r="712">
      <c r="A712" s="108"/>
      <c r="B712" s="108"/>
      <c r="C712" s="5"/>
      <c r="D712" s="5"/>
      <c r="E712" s="5"/>
      <c r="F712" s="5"/>
      <c r="G712" s="5"/>
      <c r="H712" s="5"/>
      <c r="I712" s="5"/>
      <c r="J712" s="5"/>
      <c r="K712" s="5"/>
      <c r="L712" s="5"/>
      <c r="M712" s="5"/>
    </row>
    <row r="713">
      <c r="A713" s="108"/>
      <c r="B713" s="108"/>
      <c r="C713" s="5"/>
      <c r="D713" s="5"/>
      <c r="E713" s="5"/>
      <c r="F713" s="5"/>
      <c r="G713" s="5"/>
      <c r="H713" s="5"/>
      <c r="I713" s="5"/>
      <c r="J713" s="5"/>
      <c r="K713" s="5"/>
      <c r="L713" s="5"/>
      <c r="M713" s="5"/>
    </row>
    <row r="714">
      <c r="A714" s="108"/>
      <c r="B714" s="108"/>
      <c r="C714" s="5"/>
      <c r="D714" s="5"/>
      <c r="E714" s="5"/>
      <c r="F714" s="5"/>
      <c r="G714" s="5"/>
      <c r="H714" s="5"/>
      <c r="I714" s="5"/>
      <c r="J714" s="5"/>
      <c r="K714" s="5"/>
      <c r="L714" s="5"/>
      <c r="M714" s="5"/>
    </row>
    <row r="715">
      <c r="A715" s="108"/>
      <c r="B715" s="108"/>
      <c r="C715" s="5"/>
      <c r="D715" s="5"/>
      <c r="E715" s="5"/>
      <c r="F715" s="5"/>
      <c r="G715" s="5"/>
      <c r="H715" s="5"/>
      <c r="I715" s="5"/>
      <c r="J715" s="5"/>
      <c r="K715" s="5"/>
      <c r="L715" s="5"/>
      <c r="M715" s="5"/>
    </row>
    <row r="716">
      <c r="A716" s="108"/>
      <c r="B716" s="108"/>
      <c r="C716" s="5"/>
      <c r="D716" s="5"/>
      <c r="E716" s="5"/>
      <c r="F716" s="5"/>
      <c r="G716" s="5"/>
      <c r="H716" s="5"/>
      <c r="I716" s="5"/>
      <c r="J716" s="5"/>
      <c r="K716" s="5"/>
      <c r="L716" s="5"/>
      <c r="M716" s="5"/>
    </row>
    <row r="717">
      <c r="A717" s="108"/>
      <c r="B717" s="108"/>
      <c r="C717" s="5"/>
      <c r="D717" s="5"/>
      <c r="E717" s="5"/>
      <c r="F717" s="5"/>
      <c r="G717" s="5"/>
      <c r="H717" s="5"/>
      <c r="I717" s="5"/>
      <c r="J717" s="5"/>
      <c r="K717" s="5"/>
      <c r="L717" s="5"/>
      <c r="M717" s="5"/>
    </row>
    <row r="718">
      <c r="A718" s="108"/>
      <c r="B718" s="108"/>
      <c r="C718" s="5"/>
      <c r="D718" s="5"/>
      <c r="E718" s="5"/>
      <c r="F718" s="5"/>
      <c r="G718" s="5"/>
      <c r="H718" s="5"/>
      <c r="I718" s="5"/>
      <c r="J718" s="5"/>
      <c r="K718" s="5"/>
      <c r="L718" s="5"/>
      <c r="M718" s="5"/>
    </row>
    <row r="719">
      <c r="A719" s="108"/>
      <c r="B719" s="108"/>
      <c r="C719" s="5"/>
      <c r="D719" s="5"/>
      <c r="E719" s="5"/>
      <c r="F719" s="5"/>
      <c r="G719" s="5"/>
      <c r="H719" s="5"/>
      <c r="I719" s="5"/>
      <c r="J719" s="5"/>
      <c r="K719" s="5"/>
      <c r="L719" s="5"/>
      <c r="M719" s="5"/>
    </row>
    <row r="720">
      <c r="A720" s="108"/>
      <c r="B720" s="108"/>
      <c r="C720" s="5"/>
      <c r="D720" s="5"/>
      <c r="E720" s="5"/>
      <c r="F720" s="5"/>
      <c r="G720" s="5"/>
      <c r="H720" s="5"/>
      <c r="I720" s="5"/>
      <c r="J720" s="5"/>
      <c r="K720" s="5"/>
      <c r="L720" s="5"/>
      <c r="M720" s="5"/>
    </row>
    <row r="721">
      <c r="A721" s="108"/>
      <c r="B721" s="108"/>
      <c r="C721" s="5"/>
      <c r="D721" s="5"/>
      <c r="E721" s="5"/>
      <c r="F721" s="5"/>
      <c r="G721" s="5"/>
      <c r="H721" s="5"/>
      <c r="I721" s="5"/>
      <c r="J721" s="5"/>
      <c r="K721" s="5"/>
      <c r="L721" s="5"/>
      <c r="M721" s="5"/>
    </row>
    <row r="722">
      <c r="A722" s="108"/>
      <c r="B722" s="108"/>
      <c r="C722" s="5"/>
      <c r="D722" s="5"/>
      <c r="E722" s="5"/>
      <c r="F722" s="5"/>
      <c r="G722" s="5"/>
      <c r="H722" s="5"/>
      <c r="I722" s="5"/>
      <c r="J722" s="5"/>
      <c r="K722" s="5"/>
      <c r="L722" s="5"/>
      <c r="M722" s="5"/>
    </row>
    <row r="723">
      <c r="A723" s="108"/>
      <c r="B723" s="108"/>
      <c r="C723" s="5"/>
      <c r="D723" s="5"/>
      <c r="E723" s="5"/>
      <c r="F723" s="5"/>
      <c r="G723" s="5"/>
      <c r="H723" s="5"/>
      <c r="I723" s="5"/>
      <c r="J723" s="5"/>
      <c r="K723" s="5"/>
      <c r="L723" s="5"/>
      <c r="M723" s="5"/>
    </row>
    <row r="724">
      <c r="A724" s="108"/>
      <c r="B724" s="108"/>
      <c r="C724" s="5"/>
      <c r="D724" s="5"/>
      <c r="E724" s="5"/>
      <c r="F724" s="5"/>
      <c r="G724" s="5"/>
      <c r="H724" s="5"/>
      <c r="I724" s="5"/>
      <c r="J724" s="5"/>
      <c r="K724" s="5"/>
      <c r="L724" s="5"/>
      <c r="M724" s="5"/>
    </row>
    <row r="725">
      <c r="A725" s="108"/>
      <c r="B725" s="108"/>
      <c r="C725" s="5"/>
      <c r="D725" s="5"/>
      <c r="E725" s="5"/>
      <c r="F725" s="5"/>
      <c r="G725" s="5"/>
      <c r="H725" s="5"/>
      <c r="I725" s="5"/>
      <c r="J725" s="5"/>
      <c r="K725" s="5"/>
      <c r="L725" s="5"/>
      <c r="M725" s="5"/>
    </row>
    <row r="726">
      <c r="A726" s="108"/>
      <c r="B726" s="108"/>
      <c r="C726" s="5"/>
      <c r="D726" s="5"/>
      <c r="E726" s="5"/>
      <c r="F726" s="5"/>
      <c r="G726" s="5"/>
      <c r="H726" s="5"/>
      <c r="I726" s="5"/>
      <c r="J726" s="5"/>
      <c r="K726" s="5"/>
      <c r="L726" s="5"/>
      <c r="M726" s="5"/>
    </row>
    <row r="727">
      <c r="A727" s="108"/>
      <c r="B727" s="108"/>
      <c r="C727" s="5"/>
      <c r="D727" s="5"/>
      <c r="E727" s="5"/>
      <c r="F727" s="5"/>
      <c r="G727" s="5"/>
      <c r="H727" s="5"/>
      <c r="I727" s="5"/>
      <c r="J727" s="5"/>
      <c r="K727" s="5"/>
      <c r="L727" s="5"/>
      <c r="M727" s="5"/>
    </row>
    <row r="728">
      <c r="A728" s="108"/>
      <c r="B728" s="108"/>
      <c r="C728" s="5"/>
      <c r="D728" s="5"/>
      <c r="E728" s="5"/>
      <c r="F728" s="5"/>
      <c r="G728" s="5"/>
      <c r="H728" s="5"/>
      <c r="I728" s="5"/>
      <c r="J728" s="5"/>
      <c r="K728" s="5"/>
      <c r="L728" s="5"/>
      <c r="M728" s="5"/>
    </row>
    <row r="729">
      <c r="A729" s="108"/>
      <c r="B729" s="108"/>
      <c r="C729" s="5"/>
      <c r="D729" s="5"/>
      <c r="E729" s="5"/>
      <c r="F729" s="5"/>
      <c r="G729" s="5"/>
      <c r="H729" s="5"/>
      <c r="I729" s="5"/>
      <c r="J729" s="5"/>
      <c r="K729" s="5"/>
      <c r="L729" s="5"/>
      <c r="M729" s="5"/>
    </row>
    <row r="730">
      <c r="A730" s="108"/>
      <c r="B730" s="108"/>
      <c r="C730" s="5"/>
      <c r="D730" s="5"/>
      <c r="E730" s="5"/>
      <c r="F730" s="5"/>
      <c r="G730" s="5"/>
      <c r="H730" s="5"/>
      <c r="I730" s="5"/>
      <c r="J730" s="5"/>
      <c r="K730" s="5"/>
      <c r="L730" s="5"/>
      <c r="M730" s="5"/>
    </row>
    <row r="731">
      <c r="A731" s="108"/>
      <c r="B731" s="108"/>
      <c r="C731" s="5"/>
      <c r="D731" s="5"/>
      <c r="E731" s="5"/>
      <c r="F731" s="5"/>
      <c r="G731" s="5"/>
      <c r="H731" s="5"/>
      <c r="I731" s="5"/>
      <c r="J731" s="5"/>
      <c r="K731" s="5"/>
      <c r="L731" s="5"/>
      <c r="M731" s="5"/>
    </row>
    <row r="732">
      <c r="A732" s="108"/>
      <c r="B732" s="108"/>
      <c r="C732" s="5"/>
      <c r="D732" s="5"/>
      <c r="E732" s="5"/>
      <c r="F732" s="5"/>
      <c r="G732" s="5"/>
      <c r="H732" s="5"/>
      <c r="I732" s="5"/>
      <c r="J732" s="5"/>
      <c r="K732" s="5"/>
      <c r="L732" s="5"/>
      <c r="M732" s="5"/>
    </row>
    <row r="733">
      <c r="A733" s="108"/>
      <c r="B733" s="108"/>
      <c r="C733" s="5"/>
      <c r="D733" s="5"/>
      <c r="E733" s="5"/>
      <c r="F733" s="5"/>
      <c r="G733" s="5"/>
      <c r="H733" s="5"/>
      <c r="I733" s="5"/>
      <c r="J733" s="5"/>
      <c r="K733" s="5"/>
      <c r="L733" s="5"/>
      <c r="M733" s="5"/>
    </row>
    <row r="734">
      <c r="A734" s="108"/>
      <c r="B734" s="108"/>
      <c r="C734" s="5"/>
      <c r="D734" s="5"/>
      <c r="E734" s="5"/>
      <c r="F734" s="5"/>
      <c r="G734" s="5"/>
      <c r="H734" s="5"/>
      <c r="I734" s="5"/>
      <c r="J734" s="5"/>
      <c r="K734" s="5"/>
      <c r="L734" s="5"/>
      <c r="M734" s="5"/>
    </row>
    <row r="735">
      <c r="A735" s="108"/>
      <c r="B735" s="108"/>
      <c r="C735" s="5"/>
      <c r="D735" s="5"/>
      <c r="E735" s="5"/>
      <c r="F735" s="5"/>
      <c r="G735" s="5"/>
      <c r="H735" s="5"/>
      <c r="I735" s="5"/>
      <c r="J735" s="5"/>
      <c r="K735" s="5"/>
      <c r="L735" s="5"/>
      <c r="M735" s="5"/>
    </row>
    <row r="736">
      <c r="A736" s="108"/>
      <c r="B736" s="108"/>
      <c r="C736" s="5"/>
      <c r="D736" s="5"/>
      <c r="E736" s="5"/>
      <c r="F736" s="5"/>
      <c r="G736" s="5"/>
      <c r="H736" s="5"/>
      <c r="I736" s="5"/>
      <c r="J736" s="5"/>
      <c r="K736" s="5"/>
      <c r="L736" s="5"/>
      <c r="M736" s="5"/>
    </row>
    <row r="737">
      <c r="A737" s="108"/>
      <c r="B737" s="108"/>
      <c r="C737" s="5"/>
      <c r="D737" s="5"/>
      <c r="E737" s="5"/>
      <c r="F737" s="5"/>
      <c r="G737" s="5"/>
      <c r="H737" s="5"/>
      <c r="I737" s="5"/>
      <c r="J737" s="5"/>
      <c r="K737" s="5"/>
      <c r="L737" s="5"/>
      <c r="M737" s="5"/>
    </row>
    <row r="738">
      <c r="A738" s="108"/>
      <c r="B738" s="108"/>
      <c r="C738" s="5"/>
      <c r="D738" s="5"/>
      <c r="E738" s="5"/>
      <c r="F738" s="5"/>
      <c r="G738" s="5"/>
      <c r="H738" s="5"/>
      <c r="I738" s="5"/>
      <c r="J738" s="5"/>
      <c r="K738" s="5"/>
      <c r="L738" s="5"/>
      <c r="M738" s="5"/>
    </row>
    <row r="739">
      <c r="A739" s="108"/>
      <c r="B739" s="108"/>
      <c r="C739" s="5"/>
      <c r="D739" s="5"/>
      <c r="E739" s="5"/>
      <c r="F739" s="5"/>
      <c r="G739" s="5"/>
      <c r="H739" s="5"/>
      <c r="I739" s="5"/>
      <c r="J739" s="5"/>
      <c r="K739" s="5"/>
      <c r="L739" s="5"/>
      <c r="M739" s="5"/>
    </row>
    <row r="740">
      <c r="A740" s="108"/>
      <c r="B740" s="108"/>
      <c r="C740" s="5"/>
      <c r="D740" s="5"/>
      <c r="E740" s="5"/>
      <c r="F740" s="5"/>
      <c r="G740" s="5"/>
      <c r="H740" s="5"/>
      <c r="I740" s="5"/>
      <c r="J740" s="5"/>
      <c r="K740" s="5"/>
      <c r="L740" s="5"/>
      <c r="M740" s="5"/>
    </row>
    <row r="741">
      <c r="A741" s="108"/>
      <c r="B741" s="108"/>
      <c r="C741" s="5"/>
      <c r="D741" s="5"/>
      <c r="E741" s="5"/>
      <c r="F741" s="5"/>
      <c r="G741" s="5"/>
      <c r="H741" s="5"/>
      <c r="I741" s="5"/>
      <c r="J741" s="5"/>
      <c r="K741" s="5"/>
      <c r="L741" s="5"/>
      <c r="M741" s="5"/>
    </row>
    <row r="742">
      <c r="A742" s="108"/>
      <c r="B742" s="108"/>
      <c r="C742" s="5"/>
      <c r="D742" s="5"/>
      <c r="E742" s="5"/>
      <c r="F742" s="5"/>
      <c r="G742" s="5"/>
      <c r="H742" s="5"/>
      <c r="I742" s="5"/>
      <c r="J742" s="5"/>
      <c r="K742" s="5"/>
      <c r="L742" s="5"/>
      <c r="M742" s="5"/>
    </row>
    <row r="743">
      <c r="A743" s="108"/>
      <c r="B743" s="108"/>
      <c r="C743" s="5"/>
      <c r="D743" s="5"/>
      <c r="E743" s="5"/>
      <c r="F743" s="5"/>
      <c r="G743" s="5"/>
      <c r="H743" s="5"/>
      <c r="I743" s="5"/>
      <c r="J743" s="5"/>
      <c r="K743" s="5"/>
      <c r="L743" s="5"/>
      <c r="M743" s="5"/>
    </row>
    <row r="744">
      <c r="A744" s="108"/>
      <c r="B744" s="108"/>
      <c r="C744" s="5"/>
      <c r="D744" s="5"/>
      <c r="E744" s="5"/>
      <c r="F744" s="5"/>
      <c r="G744" s="5"/>
      <c r="H744" s="5"/>
      <c r="I744" s="5"/>
      <c r="J744" s="5"/>
      <c r="K744" s="5"/>
      <c r="L744" s="5"/>
      <c r="M744" s="5"/>
    </row>
    <row r="745">
      <c r="A745" s="108"/>
      <c r="B745" s="108"/>
      <c r="C745" s="5"/>
      <c r="D745" s="5"/>
      <c r="E745" s="5"/>
      <c r="F745" s="5"/>
      <c r="G745" s="5"/>
      <c r="H745" s="5"/>
      <c r="I745" s="5"/>
      <c r="J745" s="5"/>
      <c r="K745" s="5"/>
      <c r="L745" s="5"/>
      <c r="M745" s="5"/>
    </row>
    <row r="746">
      <c r="A746" s="108"/>
      <c r="B746" s="108"/>
      <c r="C746" s="5"/>
      <c r="D746" s="5"/>
      <c r="E746" s="5"/>
      <c r="F746" s="5"/>
      <c r="G746" s="5"/>
      <c r="H746" s="5"/>
      <c r="I746" s="5"/>
      <c r="J746" s="5"/>
      <c r="K746" s="5"/>
      <c r="L746" s="5"/>
      <c r="M746" s="5"/>
    </row>
    <row r="747">
      <c r="A747" s="108"/>
      <c r="B747" s="108"/>
      <c r="C747" s="5"/>
      <c r="D747" s="5"/>
      <c r="E747" s="5"/>
      <c r="F747" s="5"/>
      <c r="G747" s="5"/>
      <c r="H747" s="5"/>
      <c r="I747" s="5"/>
      <c r="J747" s="5"/>
      <c r="K747" s="5"/>
      <c r="L747" s="5"/>
      <c r="M747" s="5"/>
    </row>
    <row r="748">
      <c r="A748" s="108"/>
      <c r="B748" s="108"/>
      <c r="C748" s="5"/>
      <c r="D748" s="5"/>
      <c r="E748" s="5"/>
      <c r="F748" s="5"/>
      <c r="G748" s="5"/>
      <c r="H748" s="5"/>
      <c r="I748" s="5"/>
      <c r="J748" s="5"/>
      <c r="K748" s="5"/>
      <c r="L748" s="5"/>
      <c r="M748" s="5"/>
    </row>
    <row r="749">
      <c r="A749" s="108"/>
      <c r="B749" s="108"/>
      <c r="C749" s="5"/>
      <c r="D749" s="5"/>
      <c r="E749" s="5"/>
      <c r="F749" s="5"/>
      <c r="G749" s="5"/>
      <c r="H749" s="5"/>
      <c r="I749" s="5"/>
      <c r="J749" s="5"/>
      <c r="K749" s="5"/>
      <c r="L749" s="5"/>
      <c r="M749" s="5"/>
    </row>
    <row r="750">
      <c r="A750" s="108"/>
      <c r="B750" s="108"/>
      <c r="C750" s="5"/>
      <c r="D750" s="5"/>
      <c r="E750" s="5"/>
      <c r="F750" s="5"/>
      <c r="G750" s="5"/>
      <c r="H750" s="5"/>
      <c r="I750" s="5"/>
      <c r="J750" s="5"/>
      <c r="K750" s="5"/>
      <c r="L750" s="5"/>
      <c r="M750" s="5"/>
    </row>
    <row r="751">
      <c r="A751" s="108"/>
      <c r="B751" s="108"/>
      <c r="C751" s="5"/>
      <c r="D751" s="5"/>
      <c r="E751" s="5"/>
      <c r="F751" s="5"/>
      <c r="G751" s="5"/>
      <c r="H751" s="5"/>
      <c r="I751" s="5"/>
      <c r="J751" s="5"/>
      <c r="K751" s="5"/>
      <c r="L751" s="5"/>
      <c r="M751" s="5"/>
    </row>
    <row r="752">
      <c r="A752" s="108"/>
      <c r="B752" s="108"/>
      <c r="C752" s="5"/>
      <c r="D752" s="5"/>
      <c r="E752" s="5"/>
      <c r="F752" s="5"/>
      <c r="G752" s="5"/>
      <c r="H752" s="5"/>
      <c r="I752" s="5"/>
      <c r="J752" s="5"/>
      <c r="K752" s="5"/>
      <c r="L752" s="5"/>
      <c r="M752" s="5"/>
    </row>
    <row r="753">
      <c r="A753" s="108"/>
      <c r="B753" s="108"/>
      <c r="C753" s="5"/>
      <c r="D753" s="5"/>
      <c r="E753" s="5"/>
      <c r="F753" s="5"/>
      <c r="G753" s="5"/>
      <c r="H753" s="5"/>
      <c r="I753" s="5"/>
      <c r="J753" s="5"/>
      <c r="K753" s="5"/>
      <c r="L753" s="5"/>
      <c r="M753" s="5"/>
    </row>
    <row r="754">
      <c r="A754" s="108"/>
      <c r="B754" s="108"/>
      <c r="C754" s="5"/>
      <c r="D754" s="5"/>
      <c r="E754" s="5"/>
      <c r="F754" s="5"/>
      <c r="G754" s="5"/>
      <c r="H754" s="5"/>
      <c r="I754" s="5"/>
      <c r="J754" s="5"/>
      <c r="K754" s="5"/>
      <c r="L754" s="5"/>
      <c r="M754" s="5"/>
    </row>
    <row r="755">
      <c r="A755" s="108"/>
      <c r="B755" s="108"/>
      <c r="C755" s="5"/>
      <c r="D755" s="5"/>
      <c r="E755" s="5"/>
      <c r="F755" s="5"/>
      <c r="G755" s="5"/>
      <c r="H755" s="5"/>
      <c r="I755" s="5"/>
      <c r="J755" s="5"/>
      <c r="K755" s="5"/>
      <c r="L755" s="5"/>
      <c r="M755" s="5"/>
    </row>
    <row r="756">
      <c r="A756" s="108"/>
      <c r="B756" s="108"/>
      <c r="C756" s="5"/>
      <c r="D756" s="5"/>
      <c r="E756" s="5"/>
      <c r="F756" s="5"/>
      <c r="G756" s="5"/>
      <c r="H756" s="5"/>
      <c r="I756" s="5"/>
      <c r="J756" s="5"/>
      <c r="K756" s="5"/>
      <c r="L756" s="5"/>
      <c r="M756" s="5"/>
    </row>
    <row r="757">
      <c r="A757" s="108"/>
      <c r="B757" s="108"/>
      <c r="C757" s="5"/>
      <c r="D757" s="5"/>
      <c r="E757" s="5"/>
      <c r="F757" s="5"/>
      <c r="G757" s="5"/>
      <c r="H757" s="5"/>
      <c r="I757" s="5"/>
      <c r="J757" s="5"/>
      <c r="K757" s="5"/>
      <c r="L757" s="5"/>
      <c r="M757" s="5"/>
    </row>
    <row r="758">
      <c r="A758" s="108"/>
      <c r="B758" s="108"/>
      <c r="C758" s="5"/>
      <c r="D758" s="5"/>
      <c r="E758" s="5"/>
      <c r="F758" s="5"/>
      <c r="G758" s="5"/>
      <c r="H758" s="5"/>
      <c r="I758" s="5"/>
      <c r="J758" s="5"/>
      <c r="K758" s="5"/>
      <c r="L758" s="5"/>
      <c r="M758" s="5"/>
    </row>
    <row r="759">
      <c r="A759" s="108"/>
      <c r="B759" s="108"/>
      <c r="C759" s="5"/>
      <c r="D759" s="5"/>
      <c r="E759" s="5"/>
      <c r="F759" s="5"/>
      <c r="G759" s="5"/>
      <c r="H759" s="5"/>
      <c r="I759" s="5"/>
      <c r="J759" s="5"/>
      <c r="K759" s="5"/>
      <c r="L759" s="5"/>
      <c r="M759" s="5"/>
    </row>
    <row r="760">
      <c r="A760" s="108"/>
      <c r="B760" s="108"/>
      <c r="C760" s="5"/>
      <c r="D760" s="5"/>
      <c r="E760" s="5"/>
      <c r="F760" s="5"/>
      <c r="G760" s="5"/>
      <c r="H760" s="5"/>
      <c r="I760" s="5"/>
      <c r="J760" s="5"/>
      <c r="K760" s="5"/>
      <c r="L760" s="5"/>
      <c r="M760" s="5"/>
    </row>
    <row r="761">
      <c r="A761" s="108"/>
      <c r="B761" s="108"/>
      <c r="C761" s="5"/>
      <c r="D761" s="5"/>
      <c r="E761" s="5"/>
      <c r="F761" s="5"/>
      <c r="G761" s="5"/>
      <c r="H761" s="5"/>
      <c r="I761" s="5"/>
      <c r="J761" s="5"/>
      <c r="K761" s="5"/>
      <c r="L761" s="5"/>
      <c r="M761" s="5"/>
    </row>
    <row r="762">
      <c r="A762" s="108"/>
      <c r="B762" s="108"/>
      <c r="C762" s="5"/>
      <c r="D762" s="5"/>
      <c r="E762" s="5"/>
      <c r="F762" s="5"/>
      <c r="G762" s="5"/>
      <c r="H762" s="5"/>
      <c r="I762" s="5"/>
      <c r="J762" s="5"/>
      <c r="K762" s="5"/>
      <c r="L762" s="5"/>
      <c r="M762" s="5"/>
    </row>
    <row r="763">
      <c r="A763" s="108"/>
      <c r="B763" s="108"/>
      <c r="C763" s="5"/>
      <c r="D763" s="5"/>
      <c r="E763" s="5"/>
      <c r="F763" s="5"/>
      <c r="G763" s="5"/>
      <c r="H763" s="5"/>
      <c r="I763" s="5"/>
      <c r="J763" s="5"/>
      <c r="K763" s="5"/>
      <c r="L763" s="5"/>
      <c r="M763" s="5"/>
    </row>
    <row r="764">
      <c r="A764" s="108"/>
      <c r="B764" s="108"/>
      <c r="C764" s="5"/>
      <c r="D764" s="5"/>
      <c r="E764" s="5"/>
      <c r="F764" s="5"/>
      <c r="G764" s="5"/>
      <c r="H764" s="5"/>
      <c r="I764" s="5"/>
      <c r="J764" s="5"/>
      <c r="K764" s="5"/>
      <c r="L764" s="5"/>
      <c r="M764" s="5"/>
    </row>
    <row r="765">
      <c r="A765" s="108"/>
      <c r="B765" s="108"/>
      <c r="C765" s="5"/>
      <c r="D765" s="5"/>
      <c r="E765" s="5"/>
      <c r="F765" s="5"/>
      <c r="G765" s="5"/>
      <c r="H765" s="5"/>
      <c r="I765" s="5"/>
      <c r="J765" s="5"/>
      <c r="K765" s="5"/>
      <c r="L765" s="5"/>
      <c r="M765" s="5"/>
    </row>
    <row r="766">
      <c r="A766" s="108"/>
      <c r="B766" s="108"/>
      <c r="C766" s="5"/>
      <c r="D766" s="5"/>
      <c r="E766" s="5"/>
      <c r="F766" s="5"/>
      <c r="G766" s="5"/>
      <c r="H766" s="5"/>
      <c r="I766" s="5"/>
      <c r="J766" s="5"/>
      <c r="K766" s="5"/>
      <c r="L766" s="5"/>
      <c r="M766" s="5"/>
    </row>
    <row r="767">
      <c r="A767" s="108"/>
      <c r="B767" s="108"/>
      <c r="C767" s="5"/>
      <c r="D767" s="5"/>
      <c r="E767" s="5"/>
      <c r="F767" s="5"/>
      <c r="G767" s="5"/>
      <c r="H767" s="5"/>
      <c r="I767" s="5"/>
      <c r="J767" s="5"/>
      <c r="K767" s="5"/>
      <c r="L767" s="5"/>
      <c r="M767" s="5"/>
    </row>
    <row r="768">
      <c r="A768" s="108"/>
      <c r="B768" s="108"/>
      <c r="C768" s="5"/>
      <c r="D768" s="5"/>
      <c r="E768" s="5"/>
      <c r="F768" s="5"/>
      <c r="G768" s="5"/>
      <c r="H768" s="5"/>
      <c r="I768" s="5"/>
      <c r="J768" s="5"/>
      <c r="K768" s="5"/>
      <c r="L768" s="5"/>
      <c r="M768" s="5"/>
    </row>
    <row r="769">
      <c r="A769" s="108"/>
      <c r="B769" s="108"/>
      <c r="C769" s="5"/>
      <c r="D769" s="5"/>
      <c r="E769" s="5"/>
      <c r="F769" s="5"/>
      <c r="G769" s="5"/>
      <c r="H769" s="5"/>
      <c r="I769" s="5"/>
      <c r="J769" s="5"/>
      <c r="K769" s="5"/>
      <c r="L769" s="5"/>
      <c r="M769" s="5"/>
    </row>
    <row r="770">
      <c r="A770" s="108"/>
      <c r="B770" s="108"/>
      <c r="C770" s="5"/>
      <c r="D770" s="5"/>
      <c r="E770" s="5"/>
      <c r="F770" s="5"/>
      <c r="G770" s="5"/>
      <c r="H770" s="5"/>
      <c r="I770" s="5"/>
      <c r="J770" s="5"/>
      <c r="K770" s="5"/>
      <c r="L770" s="5"/>
      <c r="M770" s="5"/>
    </row>
    <row r="771">
      <c r="A771" s="108"/>
      <c r="B771" s="108"/>
      <c r="C771" s="5"/>
      <c r="D771" s="5"/>
      <c r="E771" s="5"/>
      <c r="F771" s="5"/>
      <c r="G771" s="5"/>
      <c r="H771" s="5"/>
      <c r="I771" s="5"/>
      <c r="J771" s="5"/>
      <c r="K771" s="5"/>
      <c r="L771" s="5"/>
      <c r="M771" s="5"/>
    </row>
    <row r="772">
      <c r="A772" s="108"/>
      <c r="B772" s="108"/>
      <c r="C772" s="5"/>
      <c r="D772" s="5"/>
      <c r="E772" s="5"/>
      <c r="F772" s="5"/>
      <c r="G772" s="5"/>
      <c r="H772" s="5"/>
      <c r="I772" s="5"/>
      <c r="J772" s="5"/>
      <c r="K772" s="5"/>
      <c r="L772" s="5"/>
      <c r="M772" s="5"/>
    </row>
    <row r="773">
      <c r="A773" s="108"/>
      <c r="B773" s="108"/>
      <c r="C773" s="5"/>
      <c r="D773" s="5"/>
      <c r="E773" s="5"/>
      <c r="F773" s="5"/>
      <c r="G773" s="5"/>
      <c r="H773" s="5"/>
      <c r="I773" s="5"/>
      <c r="J773" s="5"/>
      <c r="K773" s="5"/>
      <c r="L773" s="5"/>
      <c r="M773" s="5"/>
    </row>
    <row r="774">
      <c r="A774" s="108"/>
      <c r="B774" s="108"/>
      <c r="C774" s="5"/>
      <c r="D774" s="5"/>
      <c r="E774" s="5"/>
      <c r="F774" s="5"/>
      <c r="G774" s="5"/>
      <c r="H774" s="5"/>
      <c r="I774" s="5"/>
      <c r="J774" s="5"/>
      <c r="K774" s="5"/>
      <c r="L774" s="5"/>
      <c r="M774" s="5"/>
    </row>
    <row r="775">
      <c r="A775" s="108"/>
      <c r="B775" s="108"/>
      <c r="C775" s="5"/>
      <c r="D775" s="5"/>
      <c r="E775" s="5"/>
      <c r="F775" s="5"/>
      <c r="G775" s="5"/>
      <c r="H775" s="5"/>
      <c r="I775" s="5"/>
      <c r="J775" s="5"/>
      <c r="K775" s="5"/>
      <c r="L775" s="5"/>
      <c r="M775" s="5"/>
    </row>
    <row r="776">
      <c r="A776" s="108"/>
      <c r="B776" s="108"/>
      <c r="C776" s="5"/>
      <c r="D776" s="5"/>
      <c r="E776" s="5"/>
      <c r="F776" s="5"/>
      <c r="G776" s="5"/>
      <c r="H776" s="5"/>
      <c r="I776" s="5"/>
      <c r="J776" s="5"/>
      <c r="K776" s="5"/>
      <c r="L776" s="5"/>
      <c r="M776" s="5"/>
    </row>
    <row r="777">
      <c r="A777" s="108"/>
      <c r="B777" s="108"/>
      <c r="C777" s="5"/>
      <c r="D777" s="5"/>
      <c r="E777" s="5"/>
      <c r="F777" s="5"/>
      <c r="G777" s="5"/>
      <c r="H777" s="5"/>
      <c r="I777" s="5"/>
      <c r="J777" s="5"/>
      <c r="K777" s="5"/>
      <c r="L777" s="5"/>
      <c r="M777" s="5"/>
    </row>
    <row r="778">
      <c r="A778" s="108"/>
      <c r="B778" s="108"/>
      <c r="C778" s="5"/>
      <c r="D778" s="5"/>
      <c r="E778" s="5"/>
      <c r="F778" s="5"/>
      <c r="G778" s="5"/>
      <c r="H778" s="5"/>
      <c r="I778" s="5"/>
      <c r="J778" s="5"/>
      <c r="K778" s="5"/>
      <c r="L778" s="5"/>
      <c r="M778" s="5"/>
    </row>
    <row r="779">
      <c r="A779" s="108"/>
      <c r="B779" s="108"/>
      <c r="C779" s="5"/>
      <c r="D779" s="5"/>
      <c r="E779" s="5"/>
      <c r="F779" s="5"/>
      <c r="G779" s="5"/>
      <c r="H779" s="5"/>
      <c r="I779" s="5"/>
      <c r="J779" s="5"/>
      <c r="K779" s="5"/>
      <c r="L779" s="5"/>
      <c r="M779" s="5"/>
    </row>
    <row r="780">
      <c r="A780" s="108"/>
      <c r="B780" s="108"/>
      <c r="C780" s="5"/>
      <c r="D780" s="5"/>
      <c r="E780" s="5"/>
      <c r="F780" s="5"/>
      <c r="G780" s="5"/>
      <c r="H780" s="5"/>
      <c r="I780" s="5"/>
      <c r="J780" s="5"/>
      <c r="K780" s="5"/>
      <c r="L780" s="5"/>
      <c r="M780" s="5"/>
    </row>
    <row r="781">
      <c r="A781" s="108"/>
      <c r="B781" s="108"/>
      <c r="C781" s="5"/>
      <c r="D781" s="5"/>
      <c r="E781" s="5"/>
      <c r="F781" s="5"/>
      <c r="G781" s="5"/>
      <c r="H781" s="5"/>
      <c r="I781" s="5"/>
      <c r="J781" s="5"/>
      <c r="K781" s="5"/>
      <c r="L781" s="5"/>
      <c r="M781" s="5"/>
    </row>
    <row r="782">
      <c r="A782" s="108"/>
      <c r="B782" s="108"/>
      <c r="C782" s="5"/>
      <c r="D782" s="5"/>
      <c r="E782" s="5"/>
      <c r="F782" s="5"/>
      <c r="G782" s="5"/>
      <c r="H782" s="5"/>
      <c r="I782" s="5"/>
      <c r="J782" s="5"/>
      <c r="K782" s="5"/>
      <c r="L782" s="5"/>
      <c r="M782" s="5"/>
    </row>
    <row r="783">
      <c r="A783" s="108"/>
      <c r="B783" s="108"/>
      <c r="C783" s="5"/>
      <c r="D783" s="5"/>
      <c r="E783" s="5"/>
      <c r="F783" s="5"/>
      <c r="G783" s="5"/>
      <c r="H783" s="5"/>
      <c r="I783" s="5"/>
      <c r="J783" s="5"/>
      <c r="K783" s="5"/>
      <c r="L783" s="5"/>
      <c r="M783" s="5"/>
    </row>
    <row r="784">
      <c r="A784" s="108"/>
      <c r="B784" s="108"/>
      <c r="C784" s="5"/>
      <c r="D784" s="5"/>
      <c r="E784" s="5"/>
      <c r="F784" s="5"/>
      <c r="G784" s="5"/>
      <c r="H784" s="5"/>
      <c r="I784" s="5"/>
      <c r="J784" s="5"/>
      <c r="K784" s="5"/>
      <c r="L784" s="5"/>
      <c r="M784" s="5"/>
    </row>
    <row r="785">
      <c r="A785" s="108"/>
      <c r="B785" s="108"/>
      <c r="C785" s="5"/>
      <c r="D785" s="5"/>
      <c r="E785" s="5"/>
      <c r="F785" s="5"/>
      <c r="G785" s="5"/>
      <c r="H785" s="5"/>
      <c r="I785" s="5"/>
      <c r="J785" s="5"/>
      <c r="K785" s="5"/>
      <c r="L785" s="5"/>
      <c r="M785" s="5"/>
    </row>
    <row r="786">
      <c r="A786" s="108"/>
      <c r="B786" s="108"/>
      <c r="C786" s="5"/>
      <c r="D786" s="5"/>
      <c r="E786" s="5"/>
      <c r="F786" s="5"/>
      <c r="G786" s="5"/>
      <c r="H786" s="5"/>
      <c r="I786" s="5"/>
      <c r="J786" s="5"/>
      <c r="K786" s="5"/>
      <c r="L786" s="5"/>
      <c r="M786" s="5"/>
    </row>
    <row r="787">
      <c r="A787" s="108"/>
      <c r="B787" s="108"/>
      <c r="C787" s="5"/>
      <c r="D787" s="5"/>
      <c r="E787" s="5"/>
      <c r="F787" s="5"/>
      <c r="G787" s="5"/>
      <c r="H787" s="5"/>
      <c r="I787" s="5"/>
      <c r="J787" s="5"/>
      <c r="K787" s="5"/>
      <c r="L787" s="5"/>
      <c r="M787" s="5"/>
    </row>
    <row r="788">
      <c r="A788" s="108"/>
      <c r="B788" s="108"/>
      <c r="C788" s="5"/>
      <c r="D788" s="5"/>
      <c r="E788" s="5"/>
      <c r="F788" s="5"/>
      <c r="G788" s="5"/>
      <c r="H788" s="5"/>
      <c r="I788" s="5"/>
      <c r="J788" s="5"/>
      <c r="K788" s="5"/>
      <c r="L788" s="5"/>
      <c r="M788" s="5"/>
    </row>
    <row r="789">
      <c r="A789" s="108"/>
      <c r="B789" s="108"/>
      <c r="C789" s="5"/>
      <c r="D789" s="5"/>
      <c r="E789" s="5"/>
      <c r="F789" s="5"/>
      <c r="G789" s="5"/>
      <c r="H789" s="5"/>
      <c r="I789" s="5"/>
      <c r="J789" s="5"/>
      <c r="K789" s="5"/>
      <c r="L789" s="5"/>
      <c r="M789" s="5"/>
    </row>
    <row r="790">
      <c r="A790" s="108"/>
      <c r="B790" s="108"/>
      <c r="C790" s="5"/>
      <c r="D790" s="5"/>
      <c r="E790" s="5"/>
      <c r="F790" s="5"/>
      <c r="G790" s="5"/>
      <c r="H790" s="5"/>
      <c r="I790" s="5"/>
      <c r="J790" s="5"/>
      <c r="K790" s="5"/>
      <c r="L790" s="5"/>
      <c r="M790" s="5"/>
    </row>
    <row r="791">
      <c r="A791" s="108"/>
      <c r="B791" s="108"/>
      <c r="C791" s="5"/>
      <c r="D791" s="5"/>
      <c r="E791" s="5"/>
      <c r="F791" s="5"/>
      <c r="G791" s="5"/>
      <c r="H791" s="5"/>
      <c r="I791" s="5"/>
      <c r="J791" s="5"/>
      <c r="K791" s="5"/>
      <c r="L791" s="5"/>
      <c r="M791" s="5"/>
    </row>
    <row r="792">
      <c r="A792" s="108"/>
      <c r="B792" s="108"/>
      <c r="C792" s="5"/>
      <c r="D792" s="5"/>
      <c r="E792" s="5"/>
      <c r="F792" s="5"/>
      <c r="G792" s="5"/>
      <c r="H792" s="5"/>
      <c r="I792" s="5"/>
      <c r="J792" s="5"/>
      <c r="K792" s="5"/>
      <c r="L792" s="5"/>
      <c r="M792" s="5"/>
    </row>
    <row r="793">
      <c r="A793" s="108"/>
      <c r="B793" s="108"/>
      <c r="C793" s="5"/>
      <c r="D793" s="5"/>
      <c r="E793" s="5"/>
      <c r="F793" s="5"/>
      <c r="G793" s="5"/>
      <c r="H793" s="5"/>
      <c r="I793" s="5"/>
      <c r="J793" s="5"/>
      <c r="K793" s="5"/>
      <c r="L793" s="5"/>
      <c r="M793" s="5"/>
    </row>
    <row r="794">
      <c r="A794" s="108"/>
      <c r="B794" s="108"/>
      <c r="C794" s="5"/>
      <c r="D794" s="5"/>
      <c r="E794" s="5"/>
      <c r="F794" s="5"/>
      <c r="G794" s="5"/>
      <c r="H794" s="5"/>
      <c r="I794" s="5"/>
      <c r="J794" s="5"/>
      <c r="K794" s="5"/>
      <c r="L794" s="5"/>
      <c r="M794" s="5"/>
    </row>
    <row r="795">
      <c r="A795" s="108"/>
      <c r="B795" s="108"/>
      <c r="C795" s="5"/>
      <c r="D795" s="5"/>
      <c r="E795" s="5"/>
      <c r="F795" s="5"/>
      <c r="G795" s="5"/>
      <c r="H795" s="5"/>
      <c r="I795" s="5"/>
      <c r="J795" s="5"/>
      <c r="K795" s="5"/>
      <c r="L795" s="5"/>
      <c r="M795" s="5"/>
    </row>
    <row r="796">
      <c r="A796" s="108"/>
      <c r="B796" s="108"/>
      <c r="C796" s="5"/>
      <c r="D796" s="5"/>
      <c r="E796" s="5"/>
      <c r="F796" s="5"/>
      <c r="G796" s="5"/>
      <c r="H796" s="5"/>
      <c r="I796" s="5"/>
      <c r="J796" s="5"/>
      <c r="K796" s="5"/>
      <c r="L796" s="5"/>
      <c r="M796" s="5"/>
    </row>
    <row r="797">
      <c r="A797" s="108"/>
      <c r="B797" s="108"/>
      <c r="C797" s="5"/>
      <c r="D797" s="5"/>
      <c r="E797" s="5"/>
      <c r="F797" s="5"/>
      <c r="G797" s="5"/>
      <c r="H797" s="5"/>
      <c r="I797" s="5"/>
      <c r="J797" s="5"/>
      <c r="K797" s="5"/>
      <c r="L797" s="5"/>
      <c r="M797" s="5"/>
    </row>
    <row r="798">
      <c r="A798" s="108"/>
      <c r="B798" s="108"/>
      <c r="C798" s="5"/>
      <c r="D798" s="5"/>
      <c r="E798" s="5"/>
      <c r="F798" s="5"/>
      <c r="G798" s="5"/>
      <c r="H798" s="5"/>
      <c r="I798" s="5"/>
      <c r="J798" s="5"/>
      <c r="K798" s="5"/>
      <c r="L798" s="5"/>
      <c r="M798" s="5"/>
    </row>
    <row r="799">
      <c r="A799" s="108"/>
      <c r="B799" s="108"/>
      <c r="C799" s="5"/>
      <c r="D799" s="5"/>
      <c r="E799" s="5"/>
      <c r="F799" s="5"/>
      <c r="G799" s="5"/>
      <c r="H799" s="5"/>
      <c r="I799" s="5"/>
      <c r="J799" s="5"/>
      <c r="K799" s="5"/>
      <c r="L799" s="5"/>
      <c r="M799" s="5"/>
    </row>
    <row r="800">
      <c r="A800" s="108"/>
      <c r="B800" s="108"/>
      <c r="C800" s="5"/>
      <c r="D800" s="5"/>
      <c r="E800" s="5"/>
      <c r="F800" s="5"/>
      <c r="G800" s="5"/>
      <c r="H800" s="5"/>
      <c r="I800" s="5"/>
      <c r="J800" s="5"/>
      <c r="K800" s="5"/>
      <c r="L800" s="5"/>
      <c r="M800" s="5"/>
    </row>
    <row r="801">
      <c r="A801" s="108"/>
      <c r="B801" s="108"/>
      <c r="C801" s="5"/>
      <c r="D801" s="5"/>
      <c r="E801" s="5"/>
      <c r="F801" s="5"/>
      <c r="G801" s="5"/>
      <c r="H801" s="5"/>
      <c r="I801" s="5"/>
      <c r="J801" s="5"/>
      <c r="K801" s="5"/>
      <c r="L801" s="5"/>
      <c r="M801" s="5"/>
    </row>
    <row r="802">
      <c r="A802" s="108"/>
      <c r="B802" s="108"/>
      <c r="C802" s="5"/>
      <c r="D802" s="5"/>
      <c r="E802" s="5"/>
      <c r="F802" s="5"/>
      <c r="G802" s="5"/>
      <c r="H802" s="5"/>
      <c r="I802" s="5"/>
      <c r="J802" s="5"/>
      <c r="K802" s="5"/>
      <c r="L802" s="5"/>
      <c r="M802" s="5"/>
    </row>
    <row r="803">
      <c r="A803" s="108"/>
      <c r="B803" s="108"/>
      <c r="C803" s="5"/>
      <c r="D803" s="5"/>
      <c r="E803" s="5"/>
      <c r="F803" s="5"/>
      <c r="G803" s="5"/>
      <c r="H803" s="5"/>
      <c r="I803" s="5"/>
      <c r="J803" s="5"/>
      <c r="K803" s="5"/>
      <c r="L803" s="5"/>
      <c r="M803" s="5"/>
    </row>
    <row r="804">
      <c r="A804" s="108"/>
      <c r="B804" s="108"/>
      <c r="C804" s="5"/>
      <c r="D804" s="5"/>
      <c r="E804" s="5"/>
      <c r="F804" s="5"/>
      <c r="G804" s="5"/>
      <c r="H804" s="5"/>
      <c r="I804" s="5"/>
      <c r="J804" s="5"/>
      <c r="K804" s="5"/>
      <c r="L804" s="5"/>
      <c r="M804" s="5"/>
    </row>
    <row r="805">
      <c r="A805" s="108"/>
      <c r="B805" s="108"/>
      <c r="C805" s="5"/>
      <c r="D805" s="5"/>
      <c r="E805" s="5"/>
      <c r="F805" s="5"/>
      <c r="G805" s="5"/>
      <c r="H805" s="5"/>
      <c r="I805" s="5"/>
      <c r="J805" s="5"/>
      <c r="K805" s="5"/>
      <c r="L805" s="5"/>
      <c r="M805" s="5"/>
    </row>
    <row r="806">
      <c r="A806" s="108"/>
      <c r="B806" s="108"/>
      <c r="C806" s="5"/>
      <c r="D806" s="5"/>
      <c r="E806" s="5"/>
      <c r="F806" s="5"/>
      <c r="G806" s="5"/>
      <c r="H806" s="5"/>
      <c r="I806" s="5"/>
      <c r="J806" s="5"/>
      <c r="K806" s="5"/>
      <c r="L806" s="5"/>
      <c r="M806" s="5"/>
    </row>
    <row r="807">
      <c r="A807" s="108"/>
      <c r="B807" s="108"/>
      <c r="C807" s="5"/>
      <c r="D807" s="5"/>
      <c r="E807" s="5"/>
      <c r="F807" s="5"/>
      <c r="G807" s="5"/>
      <c r="H807" s="5"/>
      <c r="I807" s="5"/>
      <c r="J807" s="5"/>
      <c r="K807" s="5"/>
      <c r="L807" s="5"/>
      <c r="M807" s="5"/>
    </row>
    <row r="808">
      <c r="A808" s="108"/>
      <c r="B808" s="108"/>
      <c r="C808" s="5"/>
      <c r="D808" s="5"/>
      <c r="E808" s="5"/>
      <c r="F808" s="5"/>
      <c r="G808" s="5"/>
      <c r="H808" s="5"/>
      <c r="I808" s="5"/>
      <c r="J808" s="5"/>
      <c r="K808" s="5"/>
      <c r="L808" s="5"/>
      <c r="M808" s="5"/>
    </row>
    <row r="809">
      <c r="A809" s="108"/>
      <c r="B809" s="108"/>
      <c r="C809" s="5"/>
      <c r="D809" s="5"/>
      <c r="E809" s="5"/>
      <c r="F809" s="5"/>
      <c r="G809" s="5"/>
      <c r="H809" s="5"/>
      <c r="I809" s="5"/>
      <c r="J809" s="5"/>
      <c r="K809" s="5"/>
      <c r="L809" s="5"/>
      <c r="M809" s="5"/>
    </row>
    <row r="810">
      <c r="A810" s="108"/>
      <c r="B810" s="108"/>
      <c r="C810" s="5"/>
      <c r="D810" s="5"/>
      <c r="E810" s="5"/>
      <c r="F810" s="5"/>
      <c r="G810" s="5"/>
      <c r="H810" s="5"/>
      <c r="I810" s="5"/>
      <c r="J810" s="5"/>
      <c r="K810" s="5"/>
      <c r="L810" s="5"/>
      <c r="M810" s="5"/>
    </row>
    <row r="811">
      <c r="A811" s="108"/>
      <c r="B811" s="108"/>
      <c r="C811" s="5"/>
      <c r="D811" s="5"/>
      <c r="E811" s="5"/>
      <c r="F811" s="5"/>
      <c r="G811" s="5"/>
      <c r="H811" s="5"/>
      <c r="I811" s="5"/>
      <c r="J811" s="5"/>
      <c r="K811" s="5"/>
      <c r="L811" s="5"/>
      <c r="M811" s="5"/>
    </row>
    <row r="812">
      <c r="A812" s="108"/>
      <c r="B812" s="108"/>
      <c r="C812" s="5"/>
      <c r="D812" s="5"/>
      <c r="E812" s="5"/>
      <c r="F812" s="5"/>
      <c r="G812" s="5"/>
      <c r="H812" s="5"/>
      <c r="I812" s="5"/>
      <c r="J812" s="5"/>
      <c r="K812" s="5"/>
      <c r="L812" s="5"/>
      <c r="M812" s="5"/>
    </row>
    <row r="813">
      <c r="A813" s="108"/>
      <c r="B813" s="108"/>
      <c r="C813" s="5"/>
      <c r="D813" s="5"/>
      <c r="E813" s="5"/>
      <c r="F813" s="5"/>
      <c r="G813" s="5"/>
      <c r="H813" s="5"/>
      <c r="I813" s="5"/>
      <c r="J813" s="5"/>
      <c r="K813" s="5"/>
      <c r="L813" s="5"/>
      <c r="M813" s="5"/>
    </row>
    <row r="814">
      <c r="A814" s="108"/>
      <c r="B814" s="108"/>
      <c r="C814" s="5"/>
      <c r="D814" s="5"/>
      <c r="E814" s="5"/>
      <c r="F814" s="5"/>
      <c r="G814" s="5"/>
      <c r="H814" s="5"/>
      <c r="I814" s="5"/>
      <c r="J814" s="5"/>
      <c r="K814" s="5"/>
      <c r="L814" s="5"/>
      <c r="M814" s="5"/>
    </row>
    <row r="815">
      <c r="A815" s="108"/>
      <c r="B815" s="108"/>
      <c r="C815" s="5"/>
      <c r="D815" s="5"/>
      <c r="E815" s="5"/>
      <c r="F815" s="5"/>
      <c r="G815" s="5"/>
      <c r="H815" s="5"/>
      <c r="I815" s="5"/>
      <c r="J815" s="5"/>
      <c r="K815" s="5"/>
      <c r="L815" s="5"/>
      <c r="M815" s="5"/>
    </row>
    <row r="816">
      <c r="A816" s="108"/>
      <c r="B816" s="108"/>
      <c r="C816" s="5"/>
      <c r="D816" s="5"/>
      <c r="E816" s="5"/>
      <c r="F816" s="5"/>
      <c r="G816" s="5"/>
      <c r="H816" s="5"/>
      <c r="I816" s="5"/>
      <c r="J816" s="5"/>
      <c r="K816" s="5"/>
      <c r="L816" s="5"/>
      <c r="M816" s="5"/>
    </row>
    <row r="817">
      <c r="A817" s="108"/>
      <c r="B817" s="108"/>
      <c r="C817" s="5"/>
      <c r="D817" s="5"/>
      <c r="E817" s="5"/>
      <c r="F817" s="5"/>
      <c r="G817" s="5"/>
      <c r="H817" s="5"/>
      <c r="I817" s="5"/>
      <c r="J817" s="5"/>
      <c r="K817" s="5"/>
      <c r="L817" s="5"/>
      <c r="M817" s="5"/>
    </row>
    <row r="818">
      <c r="A818" s="108"/>
      <c r="B818" s="108"/>
      <c r="C818" s="5"/>
      <c r="D818" s="5"/>
      <c r="E818" s="5"/>
      <c r="F818" s="5"/>
      <c r="G818" s="5"/>
      <c r="H818" s="5"/>
      <c r="I818" s="5"/>
      <c r="J818" s="5"/>
      <c r="K818" s="5"/>
      <c r="L818" s="5"/>
      <c r="M818" s="5"/>
    </row>
    <row r="819">
      <c r="A819" s="108"/>
      <c r="B819" s="108"/>
      <c r="C819" s="5"/>
      <c r="D819" s="5"/>
      <c r="E819" s="5"/>
      <c r="F819" s="5"/>
      <c r="G819" s="5"/>
      <c r="H819" s="5"/>
      <c r="I819" s="5"/>
      <c r="J819" s="5"/>
      <c r="K819" s="5"/>
      <c r="L819" s="5"/>
      <c r="M819" s="5"/>
    </row>
    <row r="820">
      <c r="A820" s="108"/>
      <c r="B820" s="108"/>
      <c r="C820" s="5"/>
      <c r="D820" s="5"/>
      <c r="E820" s="5"/>
      <c r="F820" s="5"/>
      <c r="G820" s="5"/>
      <c r="H820" s="5"/>
      <c r="I820" s="5"/>
      <c r="J820" s="5"/>
      <c r="K820" s="5"/>
      <c r="L820" s="5"/>
      <c r="M820" s="5"/>
    </row>
    <row r="821">
      <c r="A821" s="108"/>
      <c r="B821" s="108"/>
      <c r="C821" s="5"/>
      <c r="D821" s="5"/>
      <c r="E821" s="5"/>
      <c r="F821" s="5"/>
      <c r="G821" s="5"/>
      <c r="H821" s="5"/>
      <c r="I821" s="5"/>
      <c r="J821" s="5"/>
      <c r="K821" s="5"/>
      <c r="L821" s="5"/>
      <c r="M821" s="5"/>
    </row>
    <row r="822">
      <c r="A822" s="108"/>
      <c r="B822" s="108"/>
      <c r="C822" s="5"/>
      <c r="D822" s="5"/>
      <c r="E822" s="5"/>
      <c r="F822" s="5"/>
      <c r="G822" s="5"/>
      <c r="H822" s="5"/>
      <c r="I822" s="5"/>
      <c r="J822" s="5"/>
      <c r="K822" s="5"/>
      <c r="L822" s="5"/>
      <c r="M822" s="5"/>
    </row>
    <row r="823">
      <c r="A823" s="108"/>
      <c r="B823" s="108"/>
      <c r="C823" s="5"/>
      <c r="D823" s="5"/>
      <c r="E823" s="5"/>
      <c r="F823" s="5"/>
      <c r="G823" s="5"/>
      <c r="H823" s="5"/>
      <c r="I823" s="5"/>
      <c r="J823" s="5"/>
      <c r="K823" s="5"/>
      <c r="L823" s="5"/>
      <c r="M823" s="5"/>
    </row>
    <row r="824">
      <c r="A824" s="108"/>
      <c r="B824" s="108"/>
      <c r="C824" s="5"/>
      <c r="D824" s="5"/>
      <c r="E824" s="5"/>
      <c r="F824" s="5"/>
      <c r="G824" s="5"/>
      <c r="H824" s="5"/>
      <c r="I824" s="5"/>
      <c r="J824" s="5"/>
      <c r="K824" s="5"/>
      <c r="L824" s="5"/>
      <c r="M824" s="5"/>
    </row>
    <row r="825">
      <c r="A825" s="108"/>
      <c r="B825" s="108"/>
      <c r="C825" s="5"/>
      <c r="D825" s="5"/>
      <c r="E825" s="5"/>
      <c r="F825" s="5"/>
      <c r="G825" s="5"/>
      <c r="H825" s="5"/>
      <c r="I825" s="5"/>
      <c r="J825" s="5"/>
      <c r="K825" s="5"/>
      <c r="L825" s="5"/>
      <c r="M825" s="5"/>
    </row>
    <row r="826">
      <c r="A826" s="108"/>
      <c r="B826" s="108"/>
      <c r="C826" s="5"/>
      <c r="D826" s="5"/>
      <c r="E826" s="5"/>
      <c r="F826" s="5"/>
      <c r="G826" s="5"/>
      <c r="H826" s="5"/>
      <c r="I826" s="5"/>
      <c r="J826" s="5"/>
      <c r="K826" s="5"/>
      <c r="L826" s="5"/>
      <c r="M826" s="5"/>
    </row>
    <row r="827">
      <c r="A827" s="108"/>
      <c r="B827" s="108"/>
      <c r="C827" s="5"/>
      <c r="D827" s="5"/>
      <c r="E827" s="5"/>
      <c r="F827" s="5"/>
      <c r="G827" s="5"/>
      <c r="H827" s="5"/>
      <c r="I827" s="5"/>
      <c r="J827" s="5"/>
      <c r="K827" s="5"/>
      <c r="L827" s="5"/>
      <c r="M827" s="5"/>
    </row>
    <row r="828">
      <c r="A828" s="108"/>
      <c r="B828" s="108"/>
      <c r="C828" s="5"/>
      <c r="D828" s="5"/>
      <c r="E828" s="5"/>
      <c r="F828" s="5"/>
      <c r="G828" s="5"/>
      <c r="H828" s="5"/>
      <c r="I828" s="5"/>
      <c r="J828" s="5"/>
      <c r="K828" s="5"/>
      <c r="L828" s="5"/>
      <c r="M828" s="5"/>
    </row>
    <row r="829">
      <c r="A829" s="108"/>
      <c r="B829" s="108"/>
      <c r="C829" s="5"/>
      <c r="D829" s="5"/>
      <c r="E829" s="5"/>
      <c r="F829" s="5"/>
      <c r="G829" s="5"/>
      <c r="H829" s="5"/>
      <c r="I829" s="5"/>
      <c r="J829" s="5"/>
      <c r="K829" s="5"/>
      <c r="L829" s="5"/>
      <c r="M829" s="5"/>
    </row>
    <row r="830">
      <c r="A830" s="108"/>
      <c r="B830" s="108"/>
      <c r="C830" s="5"/>
      <c r="D830" s="5"/>
      <c r="E830" s="5"/>
      <c r="F830" s="5"/>
      <c r="G830" s="5"/>
      <c r="H830" s="5"/>
      <c r="I830" s="5"/>
      <c r="J830" s="5"/>
      <c r="K830" s="5"/>
      <c r="L830" s="5"/>
      <c r="M830" s="5"/>
    </row>
    <row r="831">
      <c r="A831" s="108"/>
      <c r="B831" s="108"/>
      <c r="C831" s="5"/>
      <c r="D831" s="5"/>
      <c r="E831" s="5"/>
      <c r="F831" s="5"/>
      <c r="G831" s="5"/>
      <c r="H831" s="5"/>
      <c r="I831" s="5"/>
      <c r="J831" s="5"/>
      <c r="K831" s="5"/>
      <c r="L831" s="5"/>
      <c r="M831" s="5"/>
    </row>
    <row r="832">
      <c r="A832" s="108"/>
      <c r="B832" s="108"/>
      <c r="C832" s="5"/>
      <c r="D832" s="5"/>
      <c r="E832" s="5"/>
      <c r="F832" s="5"/>
      <c r="G832" s="5"/>
      <c r="H832" s="5"/>
      <c r="I832" s="5"/>
      <c r="J832" s="5"/>
      <c r="K832" s="5"/>
      <c r="L832" s="5"/>
      <c r="M832" s="5"/>
    </row>
    <row r="833">
      <c r="A833" s="108"/>
      <c r="B833" s="108"/>
      <c r="C833" s="5"/>
      <c r="D833" s="5"/>
      <c r="E833" s="5"/>
      <c r="F833" s="5"/>
      <c r="G833" s="5"/>
      <c r="H833" s="5"/>
      <c r="I833" s="5"/>
      <c r="J833" s="5"/>
      <c r="K833" s="5"/>
      <c r="L833" s="5"/>
      <c r="M833" s="5"/>
    </row>
    <row r="834">
      <c r="A834" s="108"/>
      <c r="B834" s="108"/>
      <c r="C834" s="5"/>
      <c r="D834" s="5"/>
      <c r="E834" s="5"/>
      <c r="F834" s="5"/>
      <c r="G834" s="5"/>
      <c r="H834" s="5"/>
      <c r="I834" s="5"/>
      <c r="J834" s="5"/>
      <c r="K834" s="5"/>
      <c r="L834" s="5"/>
      <c r="M834" s="5"/>
    </row>
    <row r="835">
      <c r="A835" s="108"/>
      <c r="B835" s="108"/>
      <c r="C835" s="5"/>
      <c r="D835" s="5"/>
      <c r="E835" s="5"/>
      <c r="F835" s="5"/>
      <c r="G835" s="5"/>
      <c r="H835" s="5"/>
      <c r="I835" s="5"/>
      <c r="J835" s="5"/>
      <c r="K835" s="5"/>
      <c r="L835" s="5"/>
      <c r="M835" s="5"/>
    </row>
    <row r="836">
      <c r="A836" s="108"/>
      <c r="B836" s="108"/>
      <c r="C836" s="5"/>
      <c r="D836" s="5"/>
      <c r="E836" s="5"/>
      <c r="F836" s="5"/>
      <c r="G836" s="5"/>
      <c r="H836" s="5"/>
      <c r="I836" s="5"/>
      <c r="J836" s="5"/>
      <c r="K836" s="5"/>
      <c r="L836" s="5"/>
      <c r="M836" s="5"/>
    </row>
    <row r="837">
      <c r="A837" s="108"/>
      <c r="B837" s="108"/>
      <c r="C837" s="5"/>
      <c r="D837" s="5"/>
      <c r="E837" s="5"/>
      <c r="F837" s="5"/>
      <c r="G837" s="5"/>
      <c r="H837" s="5"/>
      <c r="I837" s="5"/>
      <c r="J837" s="5"/>
      <c r="K837" s="5"/>
      <c r="L837" s="5"/>
      <c r="M837" s="5"/>
    </row>
    <row r="838">
      <c r="A838" s="108"/>
      <c r="B838" s="108"/>
      <c r="C838" s="5"/>
      <c r="D838" s="5"/>
      <c r="E838" s="5"/>
      <c r="F838" s="5"/>
      <c r="G838" s="5"/>
      <c r="H838" s="5"/>
      <c r="I838" s="5"/>
      <c r="J838" s="5"/>
      <c r="K838" s="5"/>
      <c r="L838" s="5"/>
      <c r="M838" s="5"/>
    </row>
    <row r="839">
      <c r="A839" s="108"/>
      <c r="B839" s="108"/>
      <c r="C839" s="5"/>
      <c r="D839" s="5"/>
      <c r="E839" s="5"/>
      <c r="F839" s="5"/>
      <c r="G839" s="5"/>
      <c r="H839" s="5"/>
      <c r="I839" s="5"/>
      <c r="J839" s="5"/>
      <c r="K839" s="5"/>
      <c r="L839" s="5"/>
      <c r="M839" s="5"/>
    </row>
    <row r="840">
      <c r="A840" s="108"/>
      <c r="B840" s="108"/>
      <c r="C840" s="5"/>
      <c r="D840" s="5"/>
      <c r="E840" s="5"/>
      <c r="F840" s="5"/>
      <c r="G840" s="5"/>
      <c r="H840" s="5"/>
      <c r="I840" s="5"/>
      <c r="J840" s="5"/>
      <c r="K840" s="5"/>
      <c r="L840" s="5"/>
      <c r="M840" s="5"/>
    </row>
    <row r="841">
      <c r="A841" s="108"/>
      <c r="B841" s="108"/>
      <c r="C841" s="5"/>
      <c r="D841" s="5"/>
      <c r="E841" s="5"/>
      <c r="F841" s="5"/>
      <c r="G841" s="5"/>
      <c r="H841" s="5"/>
      <c r="I841" s="5"/>
      <c r="J841" s="5"/>
      <c r="K841" s="5"/>
      <c r="L841" s="5"/>
      <c r="M841" s="5"/>
    </row>
    <row r="842">
      <c r="A842" s="108"/>
      <c r="B842" s="108"/>
      <c r="C842" s="5"/>
      <c r="D842" s="5"/>
      <c r="E842" s="5"/>
      <c r="F842" s="5"/>
      <c r="G842" s="5"/>
      <c r="H842" s="5"/>
      <c r="I842" s="5"/>
      <c r="J842" s="5"/>
      <c r="K842" s="5"/>
      <c r="L842" s="5"/>
      <c r="M842" s="5"/>
    </row>
    <row r="843">
      <c r="A843" s="108"/>
      <c r="B843" s="108"/>
      <c r="C843" s="5"/>
      <c r="D843" s="5"/>
      <c r="E843" s="5"/>
      <c r="F843" s="5"/>
      <c r="G843" s="5"/>
      <c r="H843" s="5"/>
      <c r="I843" s="5"/>
      <c r="J843" s="5"/>
      <c r="K843" s="5"/>
      <c r="L843" s="5"/>
      <c r="M843" s="5"/>
    </row>
    <row r="844">
      <c r="A844" s="108"/>
      <c r="B844" s="108"/>
      <c r="C844" s="5"/>
      <c r="D844" s="5"/>
      <c r="E844" s="5"/>
      <c r="F844" s="5"/>
      <c r="G844" s="5"/>
      <c r="H844" s="5"/>
      <c r="I844" s="5"/>
      <c r="J844" s="5"/>
      <c r="K844" s="5"/>
      <c r="L844" s="5"/>
      <c r="M844" s="5"/>
    </row>
    <row r="845">
      <c r="A845" s="108"/>
      <c r="B845" s="108"/>
      <c r="C845" s="5"/>
      <c r="D845" s="5"/>
      <c r="E845" s="5"/>
      <c r="F845" s="5"/>
      <c r="G845" s="5"/>
      <c r="H845" s="5"/>
      <c r="I845" s="5"/>
      <c r="J845" s="5"/>
      <c r="K845" s="5"/>
      <c r="L845" s="5"/>
      <c r="M845" s="5"/>
    </row>
    <row r="846">
      <c r="A846" s="108"/>
      <c r="B846" s="108"/>
      <c r="C846" s="5"/>
      <c r="D846" s="5"/>
      <c r="E846" s="5"/>
      <c r="F846" s="5"/>
      <c r="G846" s="5"/>
      <c r="H846" s="5"/>
      <c r="I846" s="5"/>
      <c r="J846" s="5"/>
      <c r="K846" s="5"/>
      <c r="L846" s="5"/>
      <c r="M846" s="5"/>
    </row>
    <row r="847">
      <c r="A847" s="108"/>
      <c r="B847" s="108"/>
      <c r="C847" s="5"/>
      <c r="D847" s="5"/>
      <c r="E847" s="5"/>
      <c r="F847" s="5"/>
      <c r="G847" s="5"/>
      <c r="H847" s="5"/>
      <c r="I847" s="5"/>
      <c r="J847" s="5"/>
      <c r="K847" s="5"/>
      <c r="L847" s="5"/>
      <c r="M847" s="5"/>
    </row>
    <row r="848">
      <c r="A848" s="108"/>
      <c r="B848" s="108"/>
      <c r="C848" s="5"/>
      <c r="D848" s="5"/>
      <c r="E848" s="5"/>
      <c r="F848" s="5"/>
      <c r="G848" s="5"/>
      <c r="H848" s="5"/>
      <c r="I848" s="5"/>
      <c r="J848" s="5"/>
      <c r="K848" s="5"/>
      <c r="L848" s="5"/>
      <c r="M848" s="5"/>
    </row>
    <row r="849">
      <c r="A849" s="108"/>
      <c r="B849" s="108"/>
      <c r="C849" s="5"/>
      <c r="D849" s="5"/>
      <c r="E849" s="5"/>
      <c r="F849" s="5"/>
      <c r="G849" s="5"/>
      <c r="H849" s="5"/>
      <c r="I849" s="5"/>
      <c r="J849" s="5"/>
      <c r="K849" s="5"/>
      <c r="L849" s="5"/>
      <c r="M849" s="5"/>
    </row>
    <row r="850">
      <c r="A850" s="108"/>
      <c r="B850" s="108"/>
      <c r="C850" s="5"/>
      <c r="D850" s="5"/>
      <c r="E850" s="5"/>
      <c r="F850" s="5"/>
      <c r="G850" s="5"/>
      <c r="H850" s="5"/>
      <c r="I850" s="5"/>
      <c r="J850" s="5"/>
      <c r="K850" s="5"/>
      <c r="L850" s="5"/>
      <c r="M850" s="5"/>
    </row>
    <row r="851">
      <c r="A851" s="108"/>
      <c r="B851" s="108"/>
      <c r="C851" s="5"/>
      <c r="D851" s="5"/>
      <c r="E851" s="5"/>
      <c r="F851" s="5"/>
      <c r="G851" s="5"/>
      <c r="H851" s="5"/>
      <c r="I851" s="5"/>
      <c r="J851" s="5"/>
      <c r="K851" s="5"/>
      <c r="L851" s="5"/>
      <c r="M851" s="5"/>
    </row>
    <row r="852">
      <c r="A852" s="108"/>
      <c r="B852" s="108"/>
      <c r="C852" s="5"/>
      <c r="D852" s="5"/>
      <c r="E852" s="5"/>
      <c r="F852" s="5"/>
      <c r="G852" s="5"/>
      <c r="H852" s="5"/>
      <c r="I852" s="5"/>
      <c r="J852" s="5"/>
      <c r="K852" s="5"/>
      <c r="L852" s="5"/>
      <c r="M852" s="5"/>
    </row>
    <row r="853">
      <c r="A853" s="108"/>
      <c r="B853" s="108"/>
      <c r="C853" s="5"/>
      <c r="D853" s="5"/>
      <c r="E853" s="5"/>
      <c r="F853" s="5"/>
      <c r="G853" s="5"/>
      <c r="H853" s="5"/>
      <c r="I853" s="5"/>
      <c r="J853" s="5"/>
      <c r="K853" s="5"/>
      <c r="L853" s="5"/>
      <c r="M853" s="5"/>
    </row>
    <row r="854">
      <c r="A854" s="108"/>
      <c r="B854" s="108"/>
      <c r="C854" s="5"/>
      <c r="D854" s="5"/>
      <c r="E854" s="5"/>
      <c r="F854" s="5"/>
      <c r="G854" s="5"/>
      <c r="H854" s="5"/>
      <c r="I854" s="5"/>
      <c r="J854" s="5"/>
      <c r="K854" s="5"/>
      <c r="L854" s="5"/>
      <c r="M854" s="5"/>
    </row>
    <row r="855">
      <c r="A855" s="108"/>
      <c r="B855" s="108"/>
      <c r="C855" s="5"/>
      <c r="D855" s="5"/>
      <c r="E855" s="5"/>
      <c r="F855" s="5"/>
      <c r="G855" s="5"/>
      <c r="H855" s="5"/>
      <c r="I855" s="5"/>
      <c r="J855" s="5"/>
      <c r="K855" s="5"/>
      <c r="L855" s="5"/>
      <c r="M855" s="5"/>
    </row>
    <row r="856">
      <c r="A856" s="108"/>
      <c r="B856" s="108"/>
      <c r="C856" s="5"/>
      <c r="D856" s="5"/>
      <c r="E856" s="5"/>
      <c r="F856" s="5"/>
      <c r="G856" s="5"/>
      <c r="H856" s="5"/>
      <c r="I856" s="5"/>
      <c r="J856" s="5"/>
      <c r="K856" s="5"/>
      <c r="L856" s="5"/>
      <c r="M856" s="5"/>
    </row>
    <row r="857">
      <c r="A857" s="108"/>
      <c r="B857" s="108"/>
      <c r="C857" s="5"/>
      <c r="D857" s="5"/>
      <c r="E857" s="5"/>
      <c r="F857" s="5"/>
      <c r="G857" s="5"/>
      <c r="H857" s="5"/>
      <c r="I857" s="5"/>
      <c r="J857" s="5"/>
      <c r="K857" s="5"/>
      <c r="L857" s="5"/>
      <c r="M857" s="5"/>
    </row>
    <row r="858">
      <c r="A858" s="108"/>
      <c r="B858" s="108"/>
      <c r="C858" s="5"/>
      <c r="D858" s="5"/>
      <c r="E858" s="5"/>
      <c r="F858" s="5"/>
      <c r="G858" s="5"/>
      <c r="H858" s="5"/>
      <c r="I858" s="5"/>
      <c r="J858" s="5"/>
      <c r="K858" s="5"/>
      <c r="L858" s="5"/>
      <c r="M858" s="5"/>
    </row>
    <row r="859">
      <c r="A859" s="108"/>
      <c r="B859" s="108"/>
      <c r="C859" s="5"/>
      <c r="D859" s="5"/>
      <c r="E859" s="5"/>
      <c r="F859" s="5"/>
      <c r="G859" s="5"/>
      <c r="H859" s="5"/>
      <c r="I859" s="5"/>
      <c r="J859" s="5"/>
      <c r="K859" s="5"/>
      <c r="L859" s="5"/>
      <c r="M859" s="5"/>
    </row>
    <row r="860">
      <c r="A860" s="108"/>
      <c r="B860" s="108"/>
      <c r="C860" s="5"/>
      <c r="D860" s="5"/>
      <c r="E860" s="5"/>
      <c r="F860" s="5"/>
      <c r="G860" s="5"/>
      <c r="H860" s="5"/>
      <c r="I860" s="5"/>
      <c r="J860" s="5"/>
      <c r="K860" s="5"/>
      <c r="L860" s="5"/>
      <c r="M860" s="5"/>
    </row>
    <row r="861">
      <c r="A861" s="108"/>
      <c r="B861" s="108"/>
      <c r="C861" s="5"/>
      <c r="D861" s="5"/>
      <c r="E861" s="5"/>
      <c r="F861" s="5"/>
      <c r="G861" s="5"/>
      <c r="H861" s="5"/>
      <c r="I861" s="5"/>
      <c r="J861" s="5"/>
      <c r="K861" s="5"/>
      <c r="L861" s="5"/>
      <c r="M861" s="5"/>
    </row>
    <row r="862">
      <c r="A862" s="108"/>
      <c r="B862" s="108"/>
      <c r="C862" s="5"/>
      <c r="D862" s="5"/>
      <c r="E862" s="5"/>
      <c r="F862" s="5"/>
      <c r="G862" s="5"/>
      <c r="H862" s="5"/>
      <c r="I862" s="5"/>
      <c r="J862" s="5"/>
      <c r="K862" s="5"/>
      <c r="L862" s="5"/>
      <c r="M862" s="5"/>
    </row>
    <row r="863">
      <c r="A863" s="108"/>
      <c r="B863" s="108"/>
      <c r="C863" s="5"/>
      <c r="D863" s="5"/>
      <c r="E863" s="5"/>
      <c r="F863" s="5"/>
      <c r="G863" s="5"/>
      <c r="H863" s="5"/>
      <c r="I863" s="5"/>
      <c r="J863" s="5"/>
      <c r="K863" s="5"/>
      <c r="L863" s="5"/>
      <c r="M863" s="5"/>
    </row>
    <row r="864">
      <c r="A864" s="108"/>
      <c r="B864" s="108"/>
      <c r="C864" s="5"/>
      <c r="D864" s="5"/>
      <c r="E864" s="5"/>
      <c r="F864" s="5"/>
      <c r="G864" s="5"/>
      <c r="H864" s="5"/>
      <c r="I864" s="5"/>
      <c r="J864" s="5"/>
      <c r="K864" s="5"/>
      <c r="L864" s="5"/>
      <c r="M864" s="5"/>
    </row>
    <row r="865">
      <c r="A865" s="108"/>
      <c r="B865" s="108"/>
      <c r="C865" s="5"/>
      <c r="D865" s="5"/>
      <c r="E865" s="5"/>
      <c r="F865" s="5"/>
      <c r="G865" s="5"/>
      <c r="H865" s="5"/>
      <c r="I865" s="5"/>
      <c r="J865" s="5"/>
      <c r="K865" s="5"/>
      <c r="L865" s="5"/>
      <c r="M865" s="5"/>
    </row>
    <row r="866">
      <c r="A866" s="108"/>
      <c r="B866" s="108"/>
      <c r="C866" s="5"/>
      <c r="D866" s="5"/>
      <c r="E866" s="5"/>
      <c r="F866" s="5"/>
      <c r="G866" s="5"/>
      <c r="H866" s="5"/>
      <c r="I866" s="5"/>
      <c r="J866" s="5"/>
      <c r="K866" s="5"/>
      <c r="L866" s="5"/>
      <c r="M866" s="5"/>
    </row>
    <row r="867">
      <c r="A867" s="108"/>
      <c r="B867" s="108"/>
      <c r="C867" s="5"/>
      <c r="D867" s="5"/>
      <c r="E867" s="5"/>
      <c r="F867" s="5"/>
      <c r="G867" s="5"/>
      <c r="H867" s="5"/>
      <c r="I867" s="5"/>
      <c r="J867" s="5"/>
      <c r="K867" s="5"/>
      <c r="L867" s="5"/>
      <c r="M867" s="5"/>
    </row>
    <row r="868">
      <c r="A868" s="108"/>
      <c r="B868" s="108"/>
      <c r="C868" s="5"/>
      <c r="D868" s="5"/>
      <c r="E868" s="5"/>
      <c r="F868" s="5"/>
      <c r="G868" s="5"/>
      <c r="H868" s="5"/>
      <c r="I868" s="5"/>
      <c r="J868" s="5"/>
      <c r="K868" s="5"/>
      <c r="L868" s="5"/>
      <c r="M868" s="5"/>
    </row>
    <row r="869">
      <c r="A869" s="108"/>
      <c r="B869" s="108"/>
      <c r="C869" s="5"/>
      <c r="D869" s="5"/>
      <c r="E869" s="5"/>
      <c r="F869" s="5"/>
      <c r="G869" s="5"/>
      <c r="H869" s="5"/>
      <c r="I869" s="5"/>
      <c r="J869" s="5"/>
      <c r="K869" s="5"/>
      <c r="L869" s="5"/>
      <c r="M869" s="5"/>
    </row>
    <row r="870">
      <c r="A870" s="108"/>
      <c r="B870" s="108"/>
      <c r="C870" s="5"/>
      <c r="D870" s="5"/>
      <c r="E870" s="5"/>
      <c r="F870" s="5"/>
      <c r="G870" s="5"/>
      <c r="H870" s="5"/>
      <c r="I870" s="5"/>
      <c r="J870" s="5"/>
      <c r="K870" s="5"/>
      <c r="L870" s="5"/>
      <c r="M870" s="5"/>
    </row>
    <row r="871">
      <c r="A871" s="108"/>
      <c r="B871" s="108"/>
      <c r="C871" s="5"/>
      <c r="D871" s="5"/>
      <c r="E871" s="5"/>
      <c r="F871" s="5"/>
      <c r="G871" s="5"/>
      <c r="H871" s="5"/>
      <c r="I871" s="5"/>
      <c r="J871" s="5"/>
      <c r="K871" s="5"/>
      <c r="L871" s="5"/>
      <c r="M871" s="5"/>
    </row>
    <row r="872">
      <c r="A872" s="108"/>
      <c r="B872" s="108"/>
      <c r="C872" s="5"/>
      <c r="D872" s="5"/>
      <c r="E872" s="5"/>
      <c r="F872" s="5"/>
      <c r="G872" s="5"/>
      <c r="H872" s="5"/>
      <c r="I872" s="5"/>
      <c r="J872" s="5"/>
      <c r="K872" s="5"/>
      <c r="L872" s="5"/>
      <c r="M872" s="5"/>
    </row>
    <row r="873">
      <c r="A873" s="108"/>
      <c r="B873" s="108"/>
      <c r="C873" s="5"/>
      <c r="D873" s="5"/>
      <c r="E873" s="5"/>
      <c r="F873" s="5"/>
      <c r="G873" s="5"/>
      <c r="H873" s="5"/>
      <c r="I873" s="5"/>
      <c r="J873" s="5"/>
      <c r="K873" s="5"/>
      <c r="L873" s="5"/>
      <c r="M873" s="5"/>
    </row>
    <row r="874">
      <c r="A874" s="108"/>
      <c r="B874" s="108"/>
      <c r="C874" s="5"/>
      <c r="D874" s="5"/>
      <c r="E874" s="5"/>
      <c r="F874" s="5"/>
      <c r="G874" s="5"/>
      <c r="H874" s="5"/>
      <c r="I874" s="5"/>
      <c r="J874" s="5"/>
      <c r="K874" s="5"/>
      <c r="L874" s="5"/>
      <c r="M874" s="5"/>
    </row>
    <row r="875">
      <c r="A875" s="108"/>
      <c r="B875" s="108"/>
      <c r="C875" s="5"/>
      <c r="D875" s="5"/>
      <c r="E875" s="5"/>
      <c r="F875" s="5"/>
      <c r="G875" s="5"/>
      <c r="H875" s="5"/>
      <c r="I875" s="5"/>
      <c r="J875" s="5"/>
      <c r="K875" s="5"/>
      <c r="L875" s="5"/>
      <c r="M875" s="5"/>
    </row>
    <row r="876">
      <c r="A876" s="108"/>
      <c r="B876" s="108"/>
      <c r="C876" s="5"/>
      <c r="D876" s="5"/>
      <c r="E876" s="5"/>
      <c r="F876" s="5"/>
      <c r="G876" s="5"/>
      <c r="H876" s="5"/>
      <c r="I876" s="5"/>
      <c r="J876" s="5"/>
      <c r="K876" s="5"/>
      <c r="L876" s="5"/>
      <c r="M876" s="5"/>
    </row>
    <row r="877">
      <c r="A877" s="108"/>
      <c r="B877" s="108"/>
      <c r="C877" s="5"/>
      <c r="D877" s="5"/>
      <c r="E877" s="5"/>
      <c r="F877" s="5"/>
      <c r="G877" s="5"/>
      <c r="H877" s="5"/>
      <c r="I877" s="5"/>
      <c r="J877" s="5"/>
      <c r="K877" s="5"/>
      <c r="L877" s="5"/>
      <c r="M877" s="5"/>
    </row>
    <row r="878">
      <c r="A878" s="108"/>
      <c r="B878" s="108"/>
      <c r="C878" s="5"/>
      <c r="D878" s="5"/>
      <c r="E878" s="5"/>
      <c r="F878" s="5"/>
      <c r="G878" s="5"/>
      <c r="H878" s="5"/>
      <c r="I878" s="5"/>
      <c r="J878" s="5"/>
      <c r="K878" s="5"/>
      <c r="L878" s="5"/>
      <c r="M878" s="5"/>
    </row>
    <row r="879">
      <c r="A879" s="108"/>
      <c r="B879" s="108"/>
      <c r="C879" s="5"/>
      <c r="D879" s="5"/>
      <c r="E879" s="5"/>
      <c r="F879" s="5"/>
      <c r="G879" s="5"/>
      <c r="H879" s="5"/>
      <c r="I879" s="5"/>
      <c r="J879" s="5"/>
      <c r="K879" s="5"/>
      <c r="L879" s="5"/>
      <c r="M879" s="5"/>
    </row>
    <row r="880">
      <c r="A880" s="108"/>
      <c r="B880" s="108"/>
      <c r="C880" s="5"/>
      <c r="D880" s="5"/>
      <c r="E880" s="5"/>
      <c r="F880" s="5"/>
      <c r="G880" s="5"/>
      <c r="H880" s="5"/>
      <c r="I880" s="5"/>
      <c r="J880" s="5"/>
      <c r="K880" s="5"/>
      <c r="L880" s="5"/>
      <c r="M880" s="5"/>
    </row>
    <row r="881">
      <c r="A881" s="108"/>
      <c r="B881" s="108"/>
      <c r="C881" s="5"/>
      <c r="D881" s="5"/>
      <c r="E881" s="5"/>
      <c r="F881" s="5"/>
      <c r="G881" s="5"/>
      <c r="H881" s="5"/>
      <c r="I881" s="5"/>
      <c r="J881" s="5"/>
      <c r="K881" s="5"/>
      <c r="L881" s="5"/>
      <c r="M881" s="5"/>
    </row>
    <row r="882">
      <c r="A882" s="108"/>
      <c r="B882" s="108"/>
      <c r="C882" s="5"/>
      <c r="D882" s="5"/>
      <c r="E882" s="5"/>
      <c r="F882" s="5"/>
      <c r="G882" s="5"/>
      <c r="H882" s="5"/>
      <c r="I882" s="5"/>
      <c r="J882" s="5"/>
      <c r="K882" s="5"/>
      <c r="L882" s="5"/>
      <c r="M882" s="5"/>
    </row>
    <row r="883">
      <c r="A883" s="108"/>
      <c r="B883" s="108"/>
      <c r="C883" s="5"/>
      <c r="D883" s="5"/>
      <c r="E883" s="5"/>
      <c r="F883" s="5"/>
      <c r="G883" s="5"/>
      <c r="H883" s="5"/>
      <c r="I883" s="5"/>
      <c r="J883" s="5"/>
      <c r="K883" s="5"/>
      <c r="L883" s="5"/>
      <c r="M883" s="5"/>
    </row>
    <row r="884">
      <c r="A884" s="108"/>
      <c r="B884" s="108"/>
      <c r="C884" s="5"/>
      <c r="D884" s="5"/>
      <c r="E884" s="5"/>
      <c r="F884" s="5"/>
      <c r="G884" s="5"/>
      <c r="H884" s="5"/>
      <c r="I884" s="5"/>
      <c r="J884" s="5"/>
      <c r="K884" s="5"/>
      <c r="L884" s="5"/>
      <c r="M884" s="5"/>
    </row>
    <row r="885">
      <c r="A885" s="108"/>
      <c r="B885" s="108"/>
      <c r="C885" s="5"/>
      <c r="D885" s="5"/>
      <c r="E885" s="5"/>
      <c r="F885" s="5"/>
      <c r="G885" s="5"/>
      <c r="H885" s="5"/>
      <c r="I885" s="5"/>
      <c r="J885" s="5"/>
      <c r="K885" s="5"/>
      <c r="L885" s="5"/>
      <c r="M885" s="5"/>
    </row>
    <row r="886">
      <c r="A886" s="108"/>
      <c r="B886" s="108"/>
      <c r="C886" s="5"/>
      <c r="D886" s="5"/>
      <c r="E886" s="5"/>
      <c r="F886" s="5"/>
      <c r="G886" s="5"/>
      <c r="H886" s="5"/>
      <c r="I886" s="5"/>
      <c r="J886" s="5"/>
      <c r="K886" s="5"/>
      <c r="L886" s="5"/>
      <c r="M886" s="5"/>
    </row>
    <row r="887">
      <c r="A887" s="108"/>
      <c r="B887" s="108"/>
      <c r="C887" s="5"/>
      <c r="D887" s="5"/>
      <c r="E887" s="5"/>
      <c r="F887" s="5"/>
      <c r="G887" s="5"/>
      <c r="H887" s="5"/>
      <c r="I887" s="5"/>
      <c r="J887" s="5"/>
      <c r="K887" s="5"/>
      <c r="L887" s="5"/>
      <c r="M887" s="5"/>
    </row>
    <row r="888">
      <c r="A888" s="108"/>
      <c r="B888" s="108"/>
      <c r="C888" s="5"/>
      <c r="D888" s="5"/>
      <c r="E888" s="5"/>
      <c r="F888" s="5"/>
      <c r="G888" s="5"/>
      <c r="H888" s="5"/>
      <c r="I888" s="5"/>
      <c r="J888" s="5"/>
      <c r="K888" s="5"/>
      <c r="L888" s="5"/>
      <c r="M888" s="5"/>
    </row>
    <row r="889">
      <c r="A889" s="108"/>
      <c r="B889" s="108"/>
      <c r="C889" s="5"/>
      <c r="D889" s="5"/>
      <c r="E889" s="5"/>
      <c r="F889" s="5"/>
      <c r="G889" s="5"/>
      <c r="H889" s="5"/>
      <c r="I889" s="5"/>
      <c r="J889" s="5"/>
      <c r="K889" s="5"/>
      <c r="L889" s="5"/>
      <c r="M889" s="5"/>
    </row>
    <row r="890">
      <c r="A890" s="108"/>
      <c r="B890" s="108"/>
      <c r="C890" s="5"/>
      <c r="D890" s="5"/>
      <c r="E890" s="5"/>
      <c r="F890" s="5"/>
      <c r="G890" s="5"/>
      <c r="H890" s="5"/>
      <c r="I890" s="5"/>
      <c r="J890" s="5"/>
      <c r="K890" s="5"/>
      <c r="L890" s="5"/>
      <c r="M890" s="5"/>
    </row>
    <row r="891">
      <c r="A891" s="108"/>
      <c r="B891" s="108"/>
      <c r="C891" s="5"/>
      <c r="D891" s="5"/>
      <c r="E891" s="5"/>
      <c r="F891" s="5"/>
      <c r="G891" s="5"/>
      <c r="H891" s="5"/>
      <c r="I891" s="5"/>
      <c r="J891" s="5"/>
      <c r="K891" s="5"/>
      <c r="L891" s="5"/>
      <c r="M891" s="5"/>
    </row>
    <row r="892">
      <c r="A892" s="108"/>
      <c r="B892" s="108"/>
      <c r="C892" s="5"/>
      <c r="D892" s="5"/>
      <c r="E892" s="5"/>
      <c r="F892" s="5"/>
      <c r="G892" s="5"/>
      <c r="H892" s="5"/>
      <c r="I892" s="5"/>
      <c r="J892" s="5"/>
      <c r="K892" s="5"/>
      <c r="L892" s="5"/>
      <c r="M892" s="5"/>
    </row>
    <row r="893">
      <c r="A893" s="108"/>
      <c r="B893" s="108"/>
      <c r="C893" s="5"/>
      <c r="D893" s="5"/>
      <c r="E893" s="5"/>
      <c r="F893" s="5"/>
      <c r="G893" s="5"/>
      <c r="H893" s="5"/>
      <c r="I893" s="5"/>
      <c r="J893" s="5"/>
      <c r="K893" s="5"/>
      <c r="L893" s="5"/>
      <c r="M893" s="5"/>
    </row>
    <row r="894">
      <c r="A894" s="108"/>
      <c r="B894" s="108"/>
      <c r="C894" s="5"/>
      <c r="D894" s="5"/>
      <c r="E894" s="5"/>
      <c r="F894" s="5"/>
      <c r="G894" s="5"/>
      <c r="H894" s="5"/>
      <c r="I894" s="5"/>
      <c r="J894" s="5"/>
      <c r="K894" s="5"/>
      <c r="L894" s="5"/>
      <c r="M894" s="5"/>
    </row>
    <row r="895">
      <c r="A895" s="108"/>
      <c r="B895" s="108"/>
      <c r="C895" s="5"/>
      <c r="D895" s="5"/>
      <c r="E895" s="5"/>
      <c r="F895" s="5"/>
      <c r="G895" s="5"/>
      <c r="H895" s="5"/>
      <c r="I895" s="5"/>
      <c r="J895" s="5"/>
      <c r="K895" s="5"/>
      <c r="L895" s="5"/>
      <c r="M895" s="5"/>
    </row>
    <row r="896">
      <c r="A896" s="108"/>
      <c r="B896" s="108"/>
      <c r="C896" s="5"/>
      <c r="D896" s="5"/>
      <c r="E896" s="5"/>
      <c r="F896" s="5"/>
      <c r="G896" s="5"/>
      <c r="H896" s="5"/>
      <c r="I896" s="5"/>
      <c r="J896" s="5"/>
      <c r="K896" s="5"/>
      <c r="L896" s="5"/>
      <c r="M896" s="5"/>
    </row>
    <row r="897">
      <c r="A897" s="108"/>
      <c r="B897" s="108"/>
      <c r="C897" s="5"/>
      <c r="D897" s="5"/>
      <c r="E897" s="5"/>
      <c r="F897" s="5"/>
      <c r="G897" s="5"/>
      <c r="H897" s="5"/>
      <c r="I897" s="5"/>
      <c r="J897" s="5"/>
      <c r="K897" s="5"/>
      <c r="L897" s="5"/>
      <c r="M897" s="5"/>
    </row>
    <row r="898">
      <c r="A898" s="108"/>
      <c r="B898" s="108"/>
      <c r="C898" s="5"/>
      <c r="D898" s="5"/>
      <c r="E898" s="5"/>
      <c r="F898" s="5"/>
      <c r="G898" s="5"/>
      <c r="H898" s="5"/>
      <c r="I898" s="5"/>
      <c r="J898" s="5"/>
      <c r="K898" s="5"/>
      <c r="L898" s="5"/>
      <c r="M898" s="5"/>
    </row>
    <row r="899">
      <c r="A899" s="108"/>
      <c r="B899" s="108"/>
      <c r="C899" s="5"/>
      <c r="D899" s="5"/>
      <c r="E899" s="5"/>
      <c r="F899" s="5"/>
      <c r="G899" s="5"/>
      <c r="H899" s="5"/>
      <c r="I899" s="5"/>
      <c r="J899" s="5"/>
      <c r="K899" s="5"/>
      <c r="L899" s="5"/>
      <c r="M899" s="5"/>
    </row>
    <row r="900">
      <c r="A900" s="108"/>
      <c r="B900" s="108"/>
      <c r="C900" s="5"/>
      <c r="D900" s="5"/>
      <c r="E900" s="5"/>
      <c r="F900" s="5"/>
      <c r="G900" s="5"/>
      <c r="H900" s="5"/>
      <c r="I900" s="5"/>
      <c r="J900" s="5"/>
      <c r="K900" s="5"/>
      <c r="L900" s="5"/>
      <c r="M900" s="5"/>
    </row>
    <row r="901">
      <c r="A901" s="108"/>
      <c r="B901" s="108"/>
      <c r="C901" s="5"/>
      <c r="D901" s="5"/>
      <c r="E901" s="5"/>
      <c r="F901" s="5"/>
      <c r="G901" s="5"/>
      <c r="H901" s="5"/>
      <c r="I901" s="5"/>
      <c r="J901" s="5"/>
      <c r="K901" s="5"/>
      <c r="L901" s="5"/>
      <c r="M901" s="5"/>
    </row>
    <row r="902">
      <c r="A902" s="108"/>
      <c r="B902" s="108"/>
      <c r="C902" s="5"/>
      <c r="D902" s="5"/>
      <c r="E902" s="5"/>
      <c r="F902" s="5"/>
      <c r="G902" s="5"/>
      <c r="H902" s="5"/>
      <c r="I902" s="5"/>
      <c r="J902" s="5"/>
      <c r="K902" s="5"/>
      <c r="L902" s="5"/>
      <c r="M902" s="5"/>
    </row>
    <row r="903">
      <c r="A903" s="108"/>
      <c r="B903" s="108"/>
      <c r="C903" s="5"/>
      <c r="D903" s="5"/>
      <c r="E903" s="5"/>
      <c r="F903" s="5"/>
      <c r="G903" s="5"/>
      <c r="H903" s="5"/>
      <c r="I903" s="5"/>
      <c r="J903" s="5"/>
      <c r="K903" s="5"/>
      <c r="L903" s="5"/>
      <c r="M903" s="5"/>
    </row>
    <row r="904">
      <c r="A904" s="108"/>
      <c r="B904" s="108"/>
      <c r="C904" s="5"/>
      <c r="D904" s="5"/>
      <c r="E904" s="5"/>
      <c r="F904" s="5"/>
      <c r="G904" s="5"/>
      <c r="H904" s="5"/>
      <c r="I904" s="5"/>
      <c r="J904" s="5"/>
      <c r="K904" s="5"/>
      <c r="L904" s="5"/>
      <c r="M904" s="5"/>
    </row>
    <row r="905">
      <c r="A905" s="108"/>
      <c r="B905" s="108"/>
      <c r="C905" s="5"/>
      <c r="D905" s="5"/>
      <c r="E905" s="5"/>
      <c r="F905" s="5"/>
      <c r="G905" s="5"/>
      <c r="H905" s="5"/>
      <c r="I905" s="5"/>
      <c r="J905" s="5"/>
      <c r="K905" s="5"/>
      <c r="L905" s="5"/>
      <c r="M905" s="5"/>
    </row>
    <row r="906">
      <c r="A906" s="108"/>
      <c r="B906" s="108"/>
      <c r="C906" s="5"/>
      <c r="D906" s="5"/>
      <c r="E906" s="5"/>
      <c r="F906" s="5"/>
      <c r="G906" s="5"/>
      <c r="H906" s="5"/>
      <c r="I906" s="5"/>
      <c r="J906" s="5"/>
      <c r="K906" s="5"/>
      <c r="L906" s="5"/>
      <c r="M906" s="5"/>
    </row>
    <row r="907">
      <c r="A907" s="108"/>
      <c r="B907" s="108"/>
      <c r="C907" s="5"/>
      <c r="D907" s="5"/>
      <c r="E907" s="5"/>
      <c r="F907" s="5"/>
      <c r="G907" s="5"/>
      <c r="H907" s="5"/>
      <c r="I907" s="5"/>
      <c r="J907" s="5"/>
      <c r="K907" s="5"/>
      <c r="L907" s="5"/>
      <c r="M907" s="5"/>
    </row>
    <row r="908">
      <c r="A908" s="108"/>
      <c r="B908" s="108"/>
      <c r="C908" s="5"/>
      <c r="D908" s="5"/>
      <c r="E908" s="5"/>
      <c r="F908" s="5"/>
      <c r="G908" s="5"/>
      <c r="H908" s="5"/>
      <c r="I908" s="5"/>
      <c r="J908" s="5"/>
      <c r="K908" s="5"/>
      <c r="L908" s="5"/>
      <c r="M908" s="5"/>
    </row>
    <row r="909">
      <c r="A909" s="108"/>
      <c r="B909" s="108"/>
      <c r="C909" s="5"/>
      <c r="D909" s="5"/>
      <c r="E909" s="5"/>
      <c r="F909" s="5"/>
      <c r="G909" s="5"/>
      <c r="H909" s="5"/>
      <c r="I909" s="5"/>
      <c r="J909" s="5"/>
      <c r="K909" s="5"/>
      <c r="L909" s="5"/>
      <c r="M909" s="5"/>
    </row>
    <row r="910">
      <c r="A910" s="108"/>
      <c r="B910" s="108"/>
      <c r="C910" s="5"/>
      <c r="D910" s="5"/>
      <c r="E910" s="5"/>
      <c r="F910" s="5"/>
      <c r="G910" s="5"/>
      <c r="H910" s="5"/>
      <c r="I910" s="5"/>
      <c r="J910" s="5"/>
      <c r="K910" s="5"/>
      <c r="L910" s="5"/>
      <c r="M910" s="5"/>
    </row>
    <row r="911">
      <c r="A911" s="108"/>
      <c r="B911" s="108"/>
      <c r="C911" s="5"/>
      <c r="D911" s="5"/>
      <c r="E911" s="5"/>
      <c r="F911" s="5"/>
      <c r="G911" s="5"/>
      <c r="H911" s="5"/>
      <c r="I911" s="5"/>
      <c r="J911" s="5"/>
      <c r="K911" s="5"/>
      <c r="L911" s="5"/>
      <c r="M911" s="5"/>
    </row>
    <row r="912">
      <c r="A912" s="108"/>
      <c r="B912" s="108"/>
      <c r="C912" s="5"/>
      <c r="D912" s="5"/>
      <c r="E912" s="5"/>
      <c r="F912" s="5"/>
      <c r="G912" s="5"/>
      <c r="H912" s="5"/>
      <c r="I912" s="5"/>
      <c r="J912" s="5"/>
      <c r="K912" s="5"/>
      <c r="L912" s="5"/>
      <c r="M912" s="5"/>
    </row>
    <row r="913">
      <c r="A913" s="108"/>
      <c r="B913" s="108"/>
      <c r="C913" s="5"/>
      <c r="D913" s="5"/>
      <c r="E913" s="5"/>
      <c r="F913" s="5"/>
      <c r="G913" s="5"/>
      <c r="H913" s="5"/>
      <c r="I913" s="5"/>
      <c r="J913" s="5"/>
      <c r="K913" s="5"/>
      <c r="L913" s="5"/>
      <c r="M913" s="5"/>
    </row>
    <row r="914">
      <c r="A914" s="108"/>
      <c r="B914" s="108"/>
      <c r="C914" s="5"/>
      <c r="D914" s="5"/>
      <c r="E914" s="5"/>
      <c r="F914" s="5"/>
      <c r="G914" s="5"/>
      <c r="H914" s="5"/>
      <c r="I914" s="5"/>
      <c r="J914" s="5"/>
      <c r="K914" s="5"/>
      <c r="L914" s="5"/>
      <c r="M914" s="5"/>
    </row>
    <row r="915">
      <c r="A915" s="108"/>
      <c r="B915" s="108"/>
      <c r="C915" s="5"/>
      <c r="D915" s="5"/>
      <c r="E915" s="5"/>
      <c r="F915" s="5"/>
      <c r="G915" s="5"/>
      <c r="H915" s="5"/>
      <c r="I915" s="5"/>
      <c r="J915" s="5"/>
      <c r="K915" s="5"/>
      <c r="L915" s="5"/>
      <c r="M915" s="5"/>
    </row>
    <row r="916">
      <c r="A916" s="108"/>
      <c r="B916" s="108"/>
      <c r="C916" s="5"/>
      <c r="D916" s="5"/>
      <c r="E916" s="5"/>
      <c r="F916" s="5"/>
      <c r="G916" s="5"/>
      <c r="H916" s="5"/>
      <c r="I916" s="5"/>
      <c r="J916" s="5"/>
      <c r="K916" s="5"/>
      <c r="L916" s="5"/>
      <c r="M916" s="5"/>
    </row>
    <row r="917">
      <c r="A917" s="108"/>
      <c r="B917" s="108"/>
      <c r="C917" s="5"/>
      <c r="D917" s="5"/>
      <c r="E917" s="5"/>
      <c r="F917" s="5"/>
      <c r="G917" s="5"/>
      <c r="H917" s="5"/>
      <c r="I917" s="5"/>
      <c r="J917" s="5"/>
      <c r="K917" s="5"/>
      <c r="L917" s="5"/>
      <c r="M917" s="5"/>
    </row>
    <row r="918">
      <c r="A918" s="108"/>
      <c r="B918" s="108"/>
      <c r="C918" s="5"/>
      <c r="D918" s="5"/>
      <c r="E918" s="5"/>
      <c r="F918" s="5"/>
      <c r="G918" s="5"/>
      <c r="H918" s="5"/>
      <c r="I918" s="5"/>
      <c r="J918" s="5"/>
      <c r="K918" s="5"/>
      <c r="L918" s="5"/>
      <c r="M918" s="5"/>
    </row>
    <row r="919">
      <c r="A919" s="108"/>
      <c r="B919" s="108"/>
      <c r="C919" s="5"/>
      <c r="D919" s="5"/>
      <c r="E919" s="5"/>
      <c r="F919" s="5"/>
      <c r="G919" s="5"/>
      <c r="H919" s="5"/>
      <c r="I919" s="5"/>
      <c r="J919" s="5"/>
      <c r="K919" s="5"/>
      <c r="L919" s="5"/>
      <c r="M919" s="5"/>
    </row>
    <row r="920">
      <c r="A920" s="108"/>
      <c r="B920" s="108"/>
      <c r="C920" s="5"/>
      <c r="D920" s="5"/>
      <c r="E920" s="5"/>
      <c r="F920" s="5"/>
      <c r="G920" s="5"/>
      <c r="H920" s="5"/>
      <c r="I920" s="5"/>
      <c r="J920" s="5"/>
      <c r="K920" s="5"/>
      <c r="L920" s="5"/>
      <c r="M920" s="5"/>
    </row>
    <row r="921">
      <c r="A921" s="108"/>
      <c r="B921" s="108"/>
      <c r="C921" s="5"/>
      <c r="D921" s="5"/>
      <c r="E921" s="5"/>
      <c r="F921" s="5"/>
      <c r="G921" s="5"/>
      <c r="H921" s="5"/>
      <c r="I921" s="5"/>
      <c r="J921" s="5"/>
      <c r="K921" s="5"/>
      <c r="L921" s="5"/>
      <c r="M921" s="5"/>
    </row>
    <row r="922">
      <c r="A922" s="108"/>
      <c r="B922" s="108"/>
      <c r="C922" s="5"/>
      <c r="D922" s="5"/>
      <c r="E922" s="5"/>
      <c r="F922" s="5"/>
      <c r="G922" s="5"/>
      <c r="H922" s="5"/>
      <c r="I922" s="5"/>
      <c r="J922" s="5"/>
      <c r="K922" s="5"/>
      <c r="L922" s="5"/>
      <c r="M922" s="5"/>
    </row>
    <row r="923">
      <c r="A923" s="108"/>
      <c r="B923" s="108"/>
      <c r="C923" s="5"/>
      <c r="D923" s="5"/>
      <c r="E923" s="5"/>
      <c r="F923" s="5"/>
      <c r="G923" s="5"/>
      <c r="H923" s="5"/>
      <c r="I923" s="5"/>
      <c r="J923" s="5"/>
      <c r="K923" s="5"/>
      <c r="L923" s="5"/>
      <c r="M923" s="5"/>
    </row>
    <row r="924">
      <c r="A924" s="108"/>
      <c r="B924" s="108"/>
      <c r="C924" s="5"/>
      <c r="D924" s="5"/>
      <c r="E924" s="5"/>
      <c r="F924" s="5"/>
      <c r="G924" s="5"/>
      <c r="H924" s="5"/>
      <c r="I924" s="5"/>
      <c r="J924" s="5"/>
      <c r="K924" s="5"/>
      <c r="L924" s="5"/>
      <c r="M924" s="5"/>
    </row>
    <row r="925">
      <c r="A925" s="108"/>
      <c r="B925" s="108"/>
      <c r="C925" s="5"/>
      <c r="D925" s="5"/>
      <c r="E925" s="5"/>
      <c r="F925" s="5"/>
      <c r="G925" s="5"/>
      <c r="H925" s="5"/>
      <c r="I925" s="5"/>
      <c r="J925" s="5"/>
      <c r="K925" s="5"/>
      <c r="L925" s="5"/>
      <c r="M925" s="5"/>
    </row>
    <row r="926">
      <c r="A926" s="108"/>
      <c r="B926" s="108"/>
      <c r="C926" s="5"/>
      <c r="D926" s="5"/>
      <c r="E926" s="5"/>
      <c r="F926" s="5"/>
      <c r="G926" s="5"/>
      <c r="H926" s="5"/>
      <c r="I926" s="5"/>
      <c r="J926" s="5"/>
      <c r="K926" s="5"/>
      <c r="L926" s="5"/>
      <c r="M926" s="5"/>
    </row>
    <row r="927">
      <c r="A927" s="108"/>
      <c r="B927" s="108"/>
      <c r="C927" s="5"/>
      <c r="D927" s="5"/>
      <c r="E927" s="5"/>
      <c r="F927" s="5"/>
      <c r="G927" s="5"/>
      <c r="H927" s="5"/>
      <c r="I927" s="5"/>
      <c r="J927" s="5"/>
      <c r="K927" s="5"/>
      <c r="L927" s="5"/>
      <c r="M927" s="5"/>
    </row>
    <row r="928">
      <c r="A928" s="108"/>
      <c r="B928" s="108"/>
      <c r="C928" s="5"/>
      <c r="D928" s="5"/>
      <c r="E928" s="5"/>
      <c r="F928" s="5"/>
      <c r="G928" s="5"/>
      <c r="H928" s="5"/>
      <c r="I928" s="5"/>
      <c r="J928" s="5"/>
      <c r="K928" s="5"/>
      <c r="L928" s="5"/>
      <c r="M928" s="5"/>
    </row>
    <row r="929">
      <c r="A929" s="108"/>
      <c r="B929" s="108"/>
      <c r="C929" s="5"/>
      <c r="D929" s="5"/>
      <c r="E929" s="5"/>
      <c r="F929" s="5"/>
      <c r="G929" s="5"/>
      <c r="H929" s="5"/>
      <c r="I929" s="5"/>
      <c r="J929" s="5"/>
      <c r="K929" s="5"/>
      <c r="L929" s="5"/>
      <c r="M929" s="5"/>
    </row>
    <row r="930">
      <c r="A930" s="108"/>
      <c r="B930" s="108"/>
      <c r="C930" s="5"/>
      <c r="D930" s="5"/>
      <c r="E930" s="5"/>
      <c r="F930" s="5"/>
      <c r="G930" s="5"/>
      <c r="H930" s="5"/>
      <c r="I930" s="5"/>
      <c r="J930" s="5"/>
      <c r="K930" s="5"/>
      <c r="L930" s="5"/>
      <c r="M930" s="5"/>
    </row>
    <row r="931">
      <c r="A931" s="108"/>
      <c r="B931" s="108"/>
      <c r="C931" s="5"/>
      <c r="D931" s="5"/>
      <c r="E931" s="5"/>
      <c r="F931" s="5"/>
      <c r="G931" s="5"/>
      <c r="H931" s="5"/>
      <c r="I931" s="5"/>
      <c r="J931" s="5"/>
      <c r="K931" s="5"/>
      <c r="L931" s="5"/>
      <c r="M931" s="5"/>
    </row>
    <row r="932">
      <c r="A932" s="108"/>
      <c r="B932" s="108"/>
      <c r="C932" s="5"/>
      <c r="D932" s="5"/>
      <c r="E932" s="5"/>
      <c r="F932" s="5"/>
      <c r="G932" s="5"/>
      <c r="H932" s="5"/>
      <c r="I932" s="5"/>
      <c r="J932" s="5"/>
      <c r="K932" s="5"/>
      <c r="L932" s="5"/>
      <c r="M932" s="5"/>
    </row>
    <row r="933">
      <c r="A933" s="108"/>
      <c r="B933" s="108"/>
      <c r="C933" s="5"/>
      <c r="D933" s="5"/>
      <c r="E933" s="5"/>
      <c r="F933" s="5"/>
      <c r="G933" s="5"/>
      <c r="H933" s="5"/>
      <c r="I933" s="5"/>
      <c r="J933" s="5"/>
      <c r="K933" s="5"/>
      <c r="L933" s="5"/>
      <c r="M933" s="5"/>
    </row>
    <row r="934">
      <c r="A934" s="108"/>
      <c r="B934" s="108"/>
      <c r="C934" s="5"/>
      <c r="D934" s="5"/>
      <c r="E934" s="5"/>
      <c r="F934" s="5"/>
      <c r="G934" s="5"/>
      <c r="H934" s="5"/>
      <c r="I934" s="5"/>
      <c r="J934" s="5"/>
      <c r="K934" s="5"/>
      <c r="L934" s="5"/>
      <c r="M934" s="5"/>
    </row>
    <row r="935">
      <c r="A935" s="108"/>
      <c r="B935" s="108"/>
      <c r="C935" s="5"/>
      <c r="D935" s="5"/>
      <c r="E935" s="5"/>
      <c r="F935" s="5"/>
      <c r="G935" s="5"/>
      <c r="H935" s="5"/>
      <c r="I935" s="5"/>
      <c r="J935" s="5"/>
      <c r="K935" s="5"/>
      <c r="L935" s="5"/>
      <c r="M935" s="5"/>
    </row>
    <row r="936">
      <c r="A936" s="108"/>
      <c r="B936" s="108"/>
      <c r="C936" s="5"/>
      <c r="D936" s="5"/>
      <c r="E936" s="5"/>
      <c r="F936" s="5"/>
      <c r="G936" s="5"/>
      <c r="H936" s="5"/>
      <c r="I936" s="5"/>
      <c r="J936" s="5"/>
      <c r="K936" s="5"/>
      <c r="L936" s="5"/>
      <c r="M936" s="5"/>
    </row>
    <row r="937">
      <c r="A937" s="108"/>
      <c r="B937" s="108"/>
      <c r="C937" s="5"/>
      <c r="D937" s="5"/>
      <c r="E937" s="5"/>
      <c r="F937" s="5"/>
      <c r="G937" s="5"/>
      <c r="H937" s="5"/>
      <c r="I937" s="5"/>
      <c r="J937" s="5"/>
      <c r="K937" s="5"/>
      <c r="L937" s="5"/>
      <c r="M937" s="5"/>
    </row>
    <row r="938">
      <c r="A938" s="108"/>
      <c r="B938" s="108"/>
      <c r="C938" s="5"/>
      <c r="D938" s="5"/>
      <c r="E938" s="5"/>
      <c r="F938" s="5"/>
      <c r="G938" s="5"/>
      <c r="H938" s="5"/>
      <c r="I938" s="5"/>
      <c r="J938" s="5"/>
      <c r="K938" s="5"/>
      <c r="L938" s="5"/>
      <c r="M938" s="5"/>
    </row>
    <row r="939">
      <c r="A939" s="108"/>
      <c r="B939" s="108"/>
      <c r="C939" s="5"/>
      <c r="D939" s="5"/>
      <c r="E939" s="5"/>
      <c r="F939" s="5"/>
      <c r="G939" s="5"/>
      <c r="H939" s="5"/>
      <c r="I939" s="5"/>
      <c r="J939" s="5"/>
      <c r="K939" s="5"/>
      <c r="L939" s="5"/>
      <c r="M939" s="5"/>
    </row>
    <row r="940">
      <c r="A940" s="108"/>
      <c r="B940" s="108"/>
      <c r="C940" s="5"/>
      <c r="D940" s="5"/>
      <c r="E940" s="5"/>
      <c r="F940" s="5"/>
      <c r="G940" s="5"/>
      <c r="H940" s="5"/>
      <c r="I940" s="5"/>
      <c r="J940" s="5"/>
      <c r="K940" s="5"/>
      <c r="L940" s="5"/>
      <c r="M940" s="5"/>
    </row>
    <row r="941">
      <c r="A941" s="108"/>
      <c r="B941" s="108"/>
      <c r="C941" s="5"/>
      <c r="D941" s="5"/>
      <c r="E941" s="5"/>
      <c r="F941" s="5"/>
      <c r="G941" s="5"/>
      <c r="H941" s="5"/>
      <c r="I941" s="5"/>
      <c r="J941" s="5"/>
      <c r="K941" s="5"/>
      <c r="L941" s="5"/>
      <c r="M941" s="5"/>
    </row>
    <row r="942">
      <c r="A942" s="108"/>
      <c r="B942" s="108"/>
      <c r="C942" s="5"/>
      <c r="D942" s="5"/>
      <c r="E942" s="5"/>
      <c r="F942" s="5"/>
      <c r="G942" s="5"/>
      <c r="H942" s="5"/>
      <c r="I942" s="5"/>
      <c r="J942" s="5"/>
      <c r="K942" s="5"/>
      <c r="L942" s="5"/>
      <c r="M942" s="5"/>
    </row>
    <row r="943">
      <c r="A943" s="108"/>
      <c r="B943" s="108"/>
      <c r="C943" s="5"/>
      <c r="D943" s="5"/>
      <c r="E943" s="5"/>
      <c r="F943" s="5"/>
      <c r="G943" s="5"/>
      <c r="H943" s="5"/>
      <c r="I943" s="5"/>
      <c r="J943" s="5"/>
      <c r="K943" s="5"/>
      <c r="L943" s="5"/>
      <c r="M943" s="5"/>
    </row>
    <row r="944">
      <c r="A944" s="108"/>
      <c r="B944" s="108"/>
      <c r="C944" s="5"/>
      <c r="D944" s="5"/>
      <c r="E944" s="5"/>
      <c r="F944" s="5"/>
      <c r="G944" s="5"/>
      <c r="H944" s="5"/>
      <c r="I944" s="5"/>
      <c r="J944" s="5"/>
      <c r="K944" s="5"/>
      <c r="L944" s="5"/>
      <c r="M944" s="5"/>
    </row>
    <row r="945">
      <c r="A945" s="108"/>
      <c r="B945" s="108"/>
      <c r="C945" s="5"/>
      <c r="D945" s="5"/>
      <c r="E945" s="5"/>
      <c r="F945" s="5"/>
      <c r="G945" s="5"/>
      <c r="H945" s="5"/>
      <c r="I945" s="5"/>
      <c r="J945" s="5"/>
      <c r="K945" s="5"/>
      <c r="L945" s="5"/>
      <c r="M945" s="5"/>
    </row>
    <row r="946">
      <c r="A946" s="108"/>
      <c r="B946" s="108"/>
      <c r="C946" s="5"/>
      <c r="D946" s="5"/>
      <c r="E946" s="5"/>
      <c r="F946" s="5"/>
      <c r="G946" s="5"/>
      <c r="H946" s="5"/>
      <c r="I946" s="5"/>
      <c r="J946" s="5"/>
      <c r="K946" s="5"/>
      <c r="L946" s="5"/>
      <c r="M946" s="5"/>
    </row>
    <row r="947">
      <c r="A947" s="108"/>
      <c r="B947" s="108"/>
      <c r="C947" s="5"/>
      <c r="D947" s="5"/>
      <c r="E947" s="5"/>
      <c r="F947" s="5"/>
      <c r="G947" s="5"/>
      <c r="H947" s="5"/>
      <c r="I947" s="5"/>
      <c r="J947" s="5"/>
      <c r="K947" s="5"/>
      <c r="L947" s="5"/>
      <c r="M947" s="5"/>
    </row>
    <row r="948">
      <c r="A948" s="108"/>
      <c r="B948" s="108"/>
      <c r="C948" s="5"/>
      <c r="D948" s="5"/>
      <c r="E948" s="5"/>
      <c r="F948" s="5"/>
      <c r="G948" s="5"/>
      <c r="H948" s="5"/>
      <c r="I948" s="5"/>
      <c r="J948" s="5"/>
      <c r="K948" s="5"/>
      <c r="L948" s="5"/>
      <c r="M948" s="5"/>
    </row>
    <row r="949">
      <c r="A949" s="108"/>
      <c r="B949" s="108"/>
      <c r="C949" s="5"/>
      <c r="D949" s="5"/>
      <c r="E949" s="5"/>
      <c r="F949" s="5"/>
      <c r="G949" s="5"/>
      <c r="H949" s="5"/>
      <c r="I949" s="5"/>
      <c r="J949" s="5"/>
      <c r="K949" s="5"/>
      <c r="L949" s="5"/>
      <c r="M949" s="5"/>
    </row>
    <row r="950">
      <c r="A950" s="108"/>
      <c r="B950" s="108"/>
      <c r="C950" s="5"/>
      <c r="D950" s="5"/>
      <c r="E950" s="5"/>
      <c r="F950" s="5"/>
      <c r="G950" s="5"/>
      <c r="H950" s="5"/>
      <c r="I950" s="5"/>
      <c r="J950" s="5"/>
      <c r="K950" s="5"/>
      <c r="L950" s="5"/>
      <c r="M950" s="5"/>
    </row>
    <row r="951">
      <c r="A951" s="108"/>
      <c r="B951" s="108"/>
      <c r="C951" s="5"/>
      <c r="D951" s="5"/>
      <c r="E951" s="5"/>
      <c r="F951" s="5"/>
      <c r="G951" s="5"/>
      <c r="H951" s="5"/>
      <c r="I951" s="5"/>
      <c r="J951" s="5"/>
      <c r="K951" s="5"/>
      <c r="L951" s="5"/>
      <c r="M951" s="5"/>
    </row>
    <row r="952">
      <c r="A952" s="108"/>
      <c r="B952" s="108"/>
      <c r="C952" s="5"/>
      <c r="D952" s="5"/>
      <c r="E952" s="5"/>
      <c r="F952" s="5"/>
      <c r="G952" s="5"/>
      <c r="H952" s="5"/>
      <c r="I952" s="5"/>
      <c r="J952" s="5"/>
      <c r="K952" s="5"/>
      <c r="L952" s="5"/>
      <c r="M952" s="5"/>
    </row>
    <row r="953">
      <c r="A953" s="108"/>
      <c r="B953" s="108"/>
      <c r="C953" s="5"/>
      <c r="D953" s="5"/>
      <c r="E953" s="5"/>
      <c r="F953" s="5"/>
      <c r="G953" s="5"/>
      <c r="H953" s="5"/>
      <c r="I953" s="5"/>
      <c r="J953" s="5"/>
      <c r="K953" s="5"/>
      <c r="L953" s="5"/>
      <c r="M953" s="5"/>
    </row>
    <row r="954">
      <c r="A954" s="108"/>
      <c r="B954" s="108"/>
      <c r="C954" s="5"/>
      <c r="D954" s="5"/>
      <c r="E954" s="5"/>
      <c r="F954" s="5"/>
      <c r="G954" s="5"/>
      <c r="H954" s="5"/>
      <c r="I954" s="5"/>
      <c r="J954" s="5"/>
      <c r="K954" s="5"/>
      <c r="L954" s="5"/>
      <c r="M954" s="5"/>
    </row>
    <row r="955">
      <c r="A955" s="108"/>
      <c r="B955" s="108"/>
      <c r="C955" s="5"/>
      <c r="D955" s="5"/>
      <c r="E955" s="5"/>
      <c r="F955" s="5"/>
      <c r="G955" s="5"/>
      <c r="H955" s="5"/>
      <c r="I955" s="5"/>
      <c r="J955" s="5"/>
      <c r="K955" s="5"/>
      <c r="L955" s="5"/>
      <c r="M955" s="5"/>
    </row>
    <row r="956">
      <c r="A956" s="108"/>
      <c r="B956" s="108"/>
      <c r="C956" s="5"/>
      <c r="D956" s="5"/>
      <c r="E956" s="5"/>
      <c r="F956" s="5"/>
      <c r="G956" s="5"/>
      <c r="H956" s="5"/>
      <c r="I956" s="5"/>
      <c r="J956" s="5"/>
      <c r="K956" s="5"/>
      <c r="L956" s="5"/>
      <c r="M956" s="5"/>
    </row>
    <row r="957">
      <c r="A957" s="108"/>
      <c r="B957" s="108"/>
      <c r="C957" s="5"/>
      <c r="D957" s="5"/>
      <c r="E957" s="5"/>
      <c r="F957" s="5"/>
      <c r="G957" s="5"/>
      <c r="H957" s="5"/>
      <c r="I957" s="5"/>
      <c r="J957" s="5"/>
      <c r="K957" s="5"/>
      <c r="L957" s="5"/>
      <c r="M957" s="5"/>
    </row>
    <row r="958">
      <c r="A958" s="108"/>
      <c r="B958" s="108"/>
      <c r="C958" s="5"/>
      <c r="D958" s="5"/>
      <c r="E958" s="5"/>
      <c r="F958" s="5"/>
      <c r="G958" s="5"/>
      <c r="H958" s="5"/>
      <c r="I958" s="5"/>
      <c r="J958" s="5"/>
      <c r="K958" s="5"/>
      <c r="L958" s="5"/>
      <c r="M958" s="5"/>
    </row>
    <row r="959">
      <c r="A959" s="108"/>
      <c r="B959" s="108"/>
      <c r="C959" s="5"/>
      <c r="D959" s="5"/>
      <c r="E959" s="5"/>
      <c r="F959" s="5"/>
      <c r="G959" s="5"/>
      <c r="H959" s="5"/>
      <c r="I959" s="5"/>
      <c r="J959" s="5"/>
      <c r="K959" s="5"/>
      <c r="L959" s="5"/>
      <c r="M959" s="5"/>
    </row>
    <row r="960">
      <c r="A960" s="108"/>
      <c r="B960" s="108"/>
      <c r="C960" s="5"/>
      <c r="D960" s="5"/>
      <c r="E960" s="5"/>
      <c r="F960" s="5"/>
      <c r="G960" s="5"/>
      <c r="H960" s="5"/>
      <c r="I960" s="5"/>
      <c r="J960" s="5"/>
      <c r="K960" s="5"/>
      <c r="L960" s="5"/>
      <c r="M960" s="5"/>
    </row>
    <row r="961">
      <c r="A961" s="108"/>
      <c r="B961" s="108"/>
      <c r="C961" s="5"/>
      <c r="D961" s="5"/>
      <c r="E961" s="5"/>
      <c r="F961" s="5"/>
      <c r="G961" s="5"/>
      <c r="H961" s="5"/>
      <c r="I961" s="5"/>
      <c r="J961" s="5"/>
      <c r="K961" s="5"/>
      <c r="L961" s="5"/>
      <c r="M961" s="5"/>
    </row>
    <row r="962">
      <c r="A962" s="108"/>
      <c r="B962" s="108"/>
      <c r="C962" s="5"/>
      <c r="D962" s="5"/>
      <c r="E962" s="5"/>
      <c r="F962" s="5"/>
      <c r="G962" s="5"/>
      <c r="H962" s="5"/>
      <c r="I962" s="5"/>
      <c r="J962" s="5"/>
      <c r="K962" s="5"/>
      <c r="L962" s="5"/>
      <c r="M962" s="5"/>
    </row>
    <row r="963">
      <c r="A963" s="108"/>
      <c r="B963" s="108"/>
      <c r="C963" s="5"/>
      <c r="D963" s="5"/>
      <c r="E963" s="5"/>
      <c r="F963" s="5"/>
      <c r="G963" s="5"/>
      <c r="H963" s="5"/>
      <c r="I963" s="5"/>
      <c r="J963" s="5"/>
      <c r="K963" s="5"/>
      <c r="L963" s="5"/>
      <c r="M963" s="5"/>
    </row>
    <row r="964">
      <c r="A964" s="108"/>
      <c r="B964" s="108"/>
      <c r="C964" s="5"/>
      <c r="D964" s="5"/>
      <c r="E964" s="5"/>
      <c r="F964" s="5"/>
      <c r="G964" s="5"/>
      <c r="H964" s="5"/>
      <c r="I964" s="5"/>
      <c r="J964" s="5"/>
      <c r="K964" s="5"/>
      <c r="L964" s="5"/>
      <c r="M964" s="5"/>
    </row>
    <row r="965">
      <c r="A965" s="108"/>
      <c r="B965" s="108"/>
      <c r="C965" s="5"/>
      <c r="D965" s="5"/>
      <c r="E965" s="5"/>
      <c r="F965" s="5"/>
      <c r="G965" s="5"/>
      <c r="H965" s="5"/>
      <c r="I965" s="5"/>
      <c r="J965" s="5"/>
      <c r="K965" s="5"/>
      <c r="L965" s="5"/>
      <c r="M965" s="5"/>
    </row>
    <row r="966">
      <c r="A966" s="108"/>
      <c r="B966" s="108"/>
      <c r="C966" s="5"/>
      <c r="D966" s="5"/>
      <c r="E966" s="5"/>
      <c r="F966" s="5"/>
      <c r="G966" s="5"/>
      <c r="H966" s="5"/>
      <c r="I966" s="5"/>
      <c r="J966" s="5"/>
      <c r="K966" s="5"/>
      <c r="L966" s="5"/>
      <c r="M966" s="5"/>
    </row>
    <row r="967">
      <c r="A967" s="108"/>
      <c r="B967" s="108"/>
      <c r="C967" s="5"/>
      <c r="D967" s="5"/>
      <c r="E967" s="5"/>
      <c r="F967" s="5"/>
      <c r="G967" s="5"/>
      <c r="H967" s="5"/>
      <c r="I967" s="5"/>
      <c r="J967" s="5"/>
      <c r="K967" s="5"/>
      <c r="L967" s="5"/>
      <c r="M967" s="5"/>
    </row>
    <row r="968">
      <c r="A968" s="108"/>
      <c r="B968" s="108"/>
      <c r="C968" s="5"/>
      <c r="D968" s="5"/>
      <c r="E968" s="5"/>
      <c r="F968" s="5"/>
      <c r="G968" s="5"/>
      <c r="H968" s="5"/>
      <c r="I968" s="5"/>
      <c r="J968" s="5"/>
      <c r="K968" s="5"/>
      <c r="L968" s="5"/>
      <c r="M968" s="5"/>
    </row>
    <row r="969">
      <c r="A969" s="108"/>
      <c r="B969" s="108"/>
      <c r="C969" s="5"/>
      <c r="D969" s="5"/>
      <c r="E969" s="5"/>
      <c r="F969" s="5"/>
      <c r="G969" s="5"/>
      <c r="H969" s="5"/>
      <c r="I969" s="5"/>
      <c r="J969" s="5"/>
      <c r="K969" s="5"/>
      <c r="L969" s="5"/>
      <c r="M969" s="5"/>
    </row>
    <row r="970">
      <c r="A970" s="108"/>
      <c r="B970" s="108"/>
      <c r="C970" s="5"/>
      <c r="D970" s="5"/>
      <c r="E970" s="5"/>
      <c r="F970" s="5"/>
      <c r="G970" s="5"/>
      <c r="H970" s="5"/>
      <c r="I970" s="5"/>
      <c r="J970" s="5"/>
      <c r="K970" s="5"/>
      <c r="L970" s="5"/>
      <c r="M970" s="5"/>
    </row>
    <row r="971">
      <c r="A971" s="108"/>
      <c r="B971" s="108"/>
      <c r="C971" s="5"/>
      <c r="D971" s="5"/>
      <c r="E971" s="5"/>
      <c r="F971" s="5"/>
      <c r="G971" s="5"/>
      <c r="H971" s="5"/>
      <c r="I971" s="5"/>
      <c r="J971" s="5"/>
      <c r="K971" s="5"/>
      <c r="L971" s="5"/>
      <c r="M971" s="5"/>
    </row>
    <row r="972">
      <c r="A972" s="108"/>
      <c r="B972" s="108"/>
      <c r="C972" s="5"/>
      <c r="D972" s="5"/>
      <c r="E972" s="5"/>
      <c r="F972" s="5"/>
      <c r="G972" s="5"/>
      <c r="H972" s="5"/>
      <c r="I972" s="5"/>
      <c r="J972" s="5"/>
      <c r="K972" s="5"/>
      <c r="L972" s="5"/>
      <c r="M972" s="5"/>
    </row>
    <row r="973">
      <c r="A973" s="108"/>
      <c r="B973" s="108"/>
      <c r="C973" s="5"/>
      <c r="D973" s="5"/>
      <c r="E973" s="5"/>
      <c r="F973" s="5"/>
      <c r="G973" s="5"/>
      <c r="H973" s="5"/>
      <c r="I973" s="5"/>
      <c r="J973" s="5"/>
      <c r="K973" s="5"/>
      <c r="L973" s="5"/>
      <c r="M973" s="5"/>
    </row>
    <row r="974">
      <c r="A974" s="108"/>
      <c r="B974" s="108"/>
      <c r="C974" s="5"/>
      <c r="D974" s="5"/>
      <c r="E974" s="5"/>
      <c r="F974" s="5"/>
      <c r="G974" s="5"/>
      <c r="H974" s="5"/>
      <c r="I974" s="5"/>
      <c r="J974" s="5"/>
      <c r="K974" s="5"/>
      <c r="L974" s="5"/>
      <c r="M974" s="5"/>
    </row>
    <row r="975">
      <c r="A975" s="108"/>
      <c r="B975" s="108"/>
      <c r="C975" s="5"/>
      <c r="D975" s="5"/>
      <c r="E975" s="5"/>
      <c r="F975" s="5"/>
      <c r="G975" s="5"/>
      <c r="H975" s="5"/>
      <c r="I975" s="5"/>
      <c r="J975" s="5"/>
      <c r="K975" s="5"/>
      <c r="L975" s="5"/>
      <c r="M975" s="5"/>
    </row>
    <row r="976">
      <c r="A976" s="108"/>
      <c r="B976" s="108"/>
      <c r="C976" s="5"/>
      <c r="D976" s="5"/>
      <c r="E976" s="5"/>
      <c r="F976" s="5"/>
      <c r="G976" s="5"/>
      <c r="H976" s="5"/>
      <c r="I976" s="5"/>
      <c r="J976" s="5"/>
      <c r="K976" s="5"/>
      <c r="L976" s="5"/>
      <c r="M976" s="5"/>
    </row>
    <row r="977">
      <c r="A977" s="108"/>
      <c r="B977" s="108"/>
      <c r="C977" s="5"/>
      <c r="D977" s="5"/>
      <c r="E977" s="5"/>
      <c r="F977" s="5"/>
      <c r="G977" s="5"/>
      <c r="H977" s="5"/>
      <c r="I977" s="5"/>
      <c r="J977" s="5"/>
      <c r="K977" s="5"/>
      <c r="L977" s="5"/>
      <c r="M977" s="5"/>
    </row>
    <row r="978">
      <c r="A978" s="108"/>
      <c r="B978" s="108"/>
      <c r="C978" s="5"/>
      <c r="D978" s="5"/>
      <c r="E978" s="5"/>
      <c r="F978" s="5"/>
      <c r="G978" s="5"/>
      <c r="H978" s="5"/>
      <c r="I978" s="5"/>
      <c r="J978" s="5"/>
      <c r="K978" s="5"/>
      <c r="L978" s="5"/>
      <c r="M978" s="5"/>
    </row>
    <row r="979">
      <c r="A979" s="108"/>
      <c r="B979" s="108"/>
      <c r="C979" s="5"/>
      <c r="D979" s="5"/>
      <c r="E979" s="5"/>
      <c r="F979" s="5"/>
      <c r="G979" s="5"/>
      <c r="H979" s="5"/>
      <c r="I979" s="5"/>
      <c r="J979" s="5"/>
      <c r="K979" s="5"/>
      <c r="L979" s="5"/>
      <c r="M979" s="5"/>
    </row>
    <row r="980">
      <c r="A980" s="108"/>
      <c r="B980" s="108"/>
      <c r="C980" s="5"/>
      <c r="D980" s="5"/>
      <c r="E980" s="5"/>
      <c r="F980" s="5"/>
      <c r="G980" s="5"/>
      <c r="H980" s="5"/>
      <c r="I980" s="5"/>
      <c r="J980" s="5"/>
      <c r="K980" s="5"/>
      <c r="L980" s="5"/>
      <c r="M980" s="5"/>
    </row>
    <row r="981">
      <c r="A981" s="108"/>
      <c r="B981" s="108"/>
      <c r="C981" s="5"/>
      <c r="D981" s="5"/>
      <c r="E981" s="5"/>
      <c r="F981" s="5"/>
      <c r="G981" s="5"/>
      <c r="H981" s="5"/>
      <c r="I981" s="5"/>
      <c r="J981" s="5"/>
      <c r="K981" s="5"/>
      <c r="L981" s="5"/>
      <c r="M981" s="5"/>
    </row>
    <row r="982">
      <c r="A982" s="108"/>
      <c r="B982" s="108"/>
      <c r="C982" s="5"/>
      <c r="D982" s="5"/>
      <c r="E982" s="5"/>
      <c r="F982" s="5"/>
      <c r="G982" s="5"/>
      <c r="H982" s="5"/>
      <c r="I982" s="5"/>
      <c r="J982" s="5"/>
      <c r="K982" s="5"/>
      <c r="L982" s="5"/>
      <c r="M982" s="5"/>
    </row>
    <row r="983">
      <c r="A983" s="108"/>
      <c r="B983" s="108"/>
      <c r="C983" s="5"/>
      <c r="D983" s="5"/>
      <c r="E983" s="5"/>
      <c r="F983" s="5"/>
      <c r="G983" s="5"/>
      <c r="H983" s="5"/>
      <c r="I983" s="5"/>
      <c r="J983" s="5"/>
      <c r="K983" s="5"/>
      <c r="L983" s="5"/>
      <c r="M983" s="5"/>
    </row>
    <row r="984">
      <c r="A984" s="108"/>
      <c r="B984" s="108"/>
      <c r="C984" s="5"/>
      <c r="D984" s="5"/>
      <c r="E984" s="5"/>
      <c r="F984" s="5"/>
      <c r="G984" s="5"/>
      <c r="H984" s="5"/>
      <c r="I984" s="5"/>
      <c r="J984" s="5"/>
      <c r="K984" s="5"/>
      <c r="L984" s="5"/>
      <c r="M984" s="5"/>
    </row>
    <row r="985">
      <c r="A985" s="108"/>
      <c r="B985" s="108"/>
      <c r="C985" s="5"/>
      <c r="D985" s="5"/>
      <c r="E985" s="5"/>
      <c r="F985" s="5"/>
      <c r="G985" s="5"/>
      <c r="H985" s="5"/>
      <c r="I985" s="5"/>
      <c r="J985" s="5"/>
      <c r="K985" s="5"/>
      <c r="L985" s="5"/>
      <c r="M985" s="5"/>
    </row>
    <row r="986">
      <c r="A986" s="108"/>
      <c r="B986" s="108"/>
      <c r="C986" s="5"/>
      <c r="D986" s="5"/>
      <c r="E986" s="5"/>
      <c r="F986" s="5"/>
      <c r="G986" s="5"/>
      <c r="H986" s="5"/>
      <c r="I986" s="5"/>
      <c r="J986" s="5"/>
      <c r="K986" s="5"/>
      <c r="L986" s="5"/>
      <c r="M986" s="5"/>
    </row>
    <row r="987">
      <c r="A987" s="108"/>
      <c r="B987" s="108"/>
      <c r="C987" s="5"/>
      <c r="D987" s="5"/>
      <c r="E987" s="5"/>
      <c r="F987" s="5"/>
      <c r="G987" s="5"/>
      <c r="H987" s="5"/>
      <c r="I987" s="5"/>
      <c r="J987" s="5"/>
      <c r="K987" s="5"/>
      <c r="L987" s="5"/>
      <c r="M987" s="5"/>
    </row>
    <row r="988">
      <c r="A988" s="108"/>
      <c r="B988" s="108"/>
      <c r="C988" s="5"/>
      <c r="D988" s="5"/>
      <c r="E988" s="5"/>
      <c r="F988" s="5"/>
      <c r="G988" s="5"/>
      <c r="H988" s="5"/>
      <c r="I988" s="5"/>
      <c r="J988" s="5"/>
      <c r="K988" s="5"/>
      <c r="L988" s="5"/>
      <c r="M988" s="5"/>
    </row>
    <row r="989">
      <c r="A989" s="108"/>
      <c r="B989" s="108"/>
      <c r="C989" s="5"/>
      <c r="D989" s="5"/>
      <c r="E989" s="5"/>
      <c r="F989" s="5"/>
      <c r="G989" s="5"/>
      <c r="H989" s="5"/>
      <c r="I989" s="5"/>
      <c r="J989" s="5"/>
      <c r="K989" s="5"/>
      <c r="L989" s="5"/>
      <c r="M989" s="5"/>
    </row>
    <row r="990">
      <c r="A990" s="108"/>
      <c r="B990" s="108"/>
      <c r="C990" s="5"/>
      <c r="D990" s="5"/>
      <c r="E990" s="5"/>
      <c r="F990" s="5"/>
      <c r="G990" s="5"/>
      <c r="H990" s="5"/>
      <c r="I990" s="5"/>
      <c r="J990" s="5"/>
      <c r="K990" s="5"/>
      <c r="L990" s="5"/>
      <c r="M990" s="5"/>
    </row>
    <row r="991">
      <c r="A991" s="108"/>
      <c r="B991" s="108"/>
      <c r="C991" s="5"/>
      <c r="D991" s="5"/>
      <c r="E991" s="5"/>
      <c r="F991" s="5"/>
      <c r="G991" s="5"/>
      <c r="H991" s="5"/>
      <c r="I991" s="5"/>
      <c r="J991" s="5"/>
      <c r="K991" s="5"/>
      <c r="L991" s="5"/>
      <c r="M991" s="5"/>
    </row>
    <row r="992">
      <c r="A992" s="108"/>
      <c r="B992" s="108"/>
      <c r="C992" s="5"/>
      <c r="D992" s="5"/>
      <c r="E992" s="5"/>
      <c r="F992" s="5"/>
      <c r="G992" s="5"/>
      <c r="H992" s="5"/>
      <c r="I992" s="5"/>
      <c r="J992" s="5"/>
      <c r="K992" s="5"/>
      <c r="L992" s="5"/>
      <c r="M992" s="5"/>
    </row>
    <row r="993">
      <c r="A993" s="108"/>
      <c r="B993" s="108"/>
      <c r="C993" s="5"/>
      <c r="D993" s="5"/>
      <c r="E993" s="5"/>
      <c r="F993" s="5"/>
      <c r="G993" s="5"/>
      <c r="H993" s="5"/>
      <c r="I993" s="5"/>
      <c r="J993" s="5"/>
      <c r="K993" s="5"/>
      <c r="L993" s="5"/>
      <c r="M993" s="5"/>
    </row>
    <row r="994">
      <c r="A994" s="108"/>
      <c r="B994" s="108"/>
      <c r="C994" s="5"/>
      <c r="D994" s="5"/>
      <c r="E994" s="5"/>
      <c r="F994" s="5"/>
      <c r="G994" s="5"/>
      <c r="H994" s="5"/>
      <c r="I994" s="5"/>
      <c r="J994" s="5"/>
      <c r="K994" s="5"/>
      <c r="L994" s="5"/>
      <c r="M994" s="5"/>
    </row>
    <row r="995">
      <c r="A995" s="108"/>
      <c r="B995" s="108"/>
      <c r="C995" s="5"/>
      <c r="D995" s="5"/>
      <c r="E995" s="5"/>
      <c r="F995" s="5"/>
      <c r="G995" s="5"/>
      <c r="H995" s="5"/>
      <c r="I995" s="5"/>
      <c r="J995" s="5"/>
      <c r="K995" s="5"/>
      <c r="L995" s="5"/>
      <c r="M995" s="5"/>
    </row>
    <row r="996">
      <c r="A996" s="108"/>
      <c r="B996" s="108"/>
      <c r="C996" s="5"/>
      <c r="D996" s="5"/>
      <c r="E996" s="5"/>
      <c r="F996" s="5"/>
      <c r="G996" s="5"/>
      <c r="H996" s="5"/>
      <c r="I996" s="5"/>
      <c r="J996" s="5"/>
      <c r="K996" s="5"/>
      <c r="L996" s="5"/>
      <c r="M996" s="5"/>
    </row>
    <row r="997">
      <c r="A997" s="108"/>
      <c r="B997" s="108"/>
      <c r="C997" s="5"/>
      <c r="D997" s="5"/>
      <c r="E997" s="5"/>
      <c r="F997" s="5"/>
      <c r="G997" s="5"/>
      <c r="H997" s="5"/>
      <c r="I997" s="5"/>
      <c r="J997" s="5"/>
      <c r="K997" s="5"/>
      <c r="L997" s="5"/>
      <c r="M997" s="5"/>
    </row>
    <row r="998">
      <c r="A998" s="108"/>
      <c r="B998" s="108"/>
      <c r="C998" s="5"/>
      <c r="D998" s="5"/>
      <c r="E998" s="5"/>
      <c r="F998" s="5"/>
      <c r="G998" s="5"/>
      <c r="H998" s="5"/>
      <c r="I998" s="5"/>
      <c r="J998" s="5"/>
      <c r="K998" s="5"/>
      <c r="L998" s="5"/>
      <c r="M998" s="5"/>
    </row>
    <row r="999">
      <c r="A999" s="108"/>
      <c r="B999" s="108"/>
      <c r="C999" s="5"/>
      <c r="D999" s="5"/>
      <c r="E999" s="5"/>
      <c r="F999" s="5"/>
      <c r="G999" s="5"/>
      <c r="H999" s="5"/>
      <c r="I999" s="5"/>
      <c r="J999" s="5"/>
      <c r="K999" s="5"/>
      <c r="L999" s="5"/>
      <c r="M999" s="5"/>
    </row>
    <row r="1000">
      <c r="A1000" s="108"/>
      <c r="B1000" s="108"/>
      <c r="C1000" s="5"/>
      <c r="D1000" s="5"/>
      <c r="E1000" s="5"/>
      <c r="F1000" s="5"/>
      <c r="G1000" s="5"/>
      <c r="H1000" s="5"/>
      <c r="I1000" s="5"/>
      <c r="J1000" s="5"/>
      <c r="K1000" s="5"/>
      <c r="L1000" s="5"/>
      <c r="M1000" s="5"/>
    </row>
    <row r="1001">
      <c r="A1001" s="108"/>
      <c r="B1001" s="108"/>
      <c r="C1001" s="5"/>
      <c r="D1001" s="5"/>
      <c r="E1001" s="5"/>
      <c r="F1001" s="5"/>
      <c r="G1001" s="5"/>
      <c r="H1001" s="5"/>
      <c r="I1001" s="5"/>
      <c r="J1001" s="5"/>
      <c r="K1001" s="5"/>
      <c r="L1001" s="5"/>
      <c r="M1001" s="5"/>
    </row>
    <row r="1002">
      <c r="A1002" s="108"/>
      <c r="B1002" s="108"/>
      <c r="C1002" s="5"/>
      <c r="D1002" s="5"/>
      <c r="E1002" s="5"/>
      <c r="F1002" s="5"/>
      <c r="G1002" s="5"/>
      <c r="H1002" s="5"/>
      <c r="I1002" s="5"/>
      <c r="J1002" s="5"/>
      <c r="K1002" s="5"/>
      <c r="L1002" s="5"/>
      <c r="M1002"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0"/>
    <col customWidth="1" min="2" max="2" width="36.5"/>
    <col customWidth="1" min="3" max="21" width="7.63"/>
    <col customWidth="1" min="22" max="22" width="8.88"/>
    <col customWidth="1" min="23" max="27" width="7.63"/>
    <col customWidth="1" min="28" max="28" width="15.88"/>
    <col customWidth="1" min="29" max="29" width="7.63"/>
  </cols>
  <sheetData>
    <row r="1">
      <c r="A1" s="109"/>
      <c r="B1" s="30" t="s">
        <v>58</v>
      </c>
      <c r="C1" s="30" t="s">
        <v>5</v>
      </c>
      <c r="D1" s="31"/>
      <c r="E1" s="31"/>
      <c r="F1" s="30"/>
      <c r="G1" s="30"/>
      <c r="H1" s="30"/>
      <c r="I1" s="30"/>
      <c r="J1" s="31"/>
      <c r="K1" s="31"/>
      <c r="L1" s="31"/>
      <c r="M1" s="30" t="s">
        <v>6</v>
      </c>
      <c r="N1" s="33"/>
      <c r="O1" s="33"/>
      <c r="P1" s="33"/>
      <c r="Q1" s="31"/>
      <c r="R1" s="30" t="s">
        <v>7</v>
      </c>
      <c r="S1" s="110"/>
      <c r="T1" s="31"/>
      <c r="U1" s="30"/>
      <c r="V1" s="31"/>
      <c r="W1" s="30" t="s">
        <v>8</v>
      </c>
      <c r="X1" s="111"/>
      <c r="Y1" s="31"/>
      <c r="Z1" s="31"/>
      <c r="AA1" s="112" t="s">
        <v>59</v>
      </c>
      <c r="AB1" s="113"/>
      <c r="AC1" s="113"/>
      <c r="AD1" s="113"/>
    </row>
    <row r="2">
      <c r="A2" s="109"/>
      <c r="B2" s="114" t="s">
        <v>30</v>
      </c>
      <c r="C2" s="115" t="s">
        <v>11</v>
      </c>
      <c r="D2" s="115" t="s">
        <v>12</v>
      </c>
      <c r="E2" s="114" t="s">
        <v>13</v>
      </c>
      <c r="F2" s="114" t="s">
        <v>14</v>
      </c>
      <c r="G2" s="114" t="s">
        <v>15</v>
      </c>
      <c r="H2" s="114" t="s">
        <v>60</v>
      </c>
      <c r="I2" s="114" t="s">
        <v>17</v>
      </c>
      <c r="J2" s="115" t="s">
        <v>18</v>
      </c>
      <c r="K2" s="114" t="s">
        <v>19</v>
      </c>
      <c r="L2" s="114" t="s">
        <v>61</v>
      </c>
      <c r="M2" s="114" t="s">
        <v>62</v>
      </c>
      <c r="N2" s="114" t="s">
        <v>63</v>
      </c>
      <c r="O2" s="114" t="s">
        <v>64</v>
      </c>
      <c r="P2" s="114" t="s">
        <v>65</v>
      </c>
      <c r="Q2" s="114" t="s">
        <v>66</v>
      </c>
      <c r="R2" s="114" t="s">
        <v>67</v>
      </c>
      <c r="S2" s="114" t="s">
        <v>68</v>
      </c>
      <c r="T2" s="114" t="s">
        <v>27</v>
      </c>
      <c r="U2" s="115" t="s">
        <v>28</v>
      </c>
      <c r="V2" s="114" t="s">
        <v>69</v>
      </c>
      <c r="W2" s="114" t="s">
        <v>67</v>
      </c>
      <c r="X2" s="114" t="s">
        <v>29</v>
      </c>
      <c r="Y2" s="114" t="s">
        <v>19</v>
      </c>
      <c r="Z2" s="114" t="s">
        <v>70</v>
      </c>
      <c r="AA2" s="116" t="s">
        <v>30</v>
      </c>
      <c r="AB2" s="113"/>
      <c r="AC2" s="113"/>
      <c r="AD2" s="113"/>
    </row>
    <row r="3">
      <c r="A3" s="117">
        <v>44500.0</v>
      </c>
      <c r="B3" s="117" t="s">
        <v>71</v>
      </c>
      <c r="C3" s="118"/>
      <c r="D3" s="119"/>
      <c r="E3" s="119"/>
      <c r="F3" s="119"/>
      <c r="G3" s="119"/>
      <c r="H3" s="119"/>
      <c r="I3" s="119"/>
      <c r="J3" s="119"/>
      <c r="K3" s="119"/>
      <c r="L3" s="119"/>
      <c r="M3" s="117" t="s">
        <v>72</v>
      </c>
      <c r="N3" s="117">
        <v>117.0</v>
      </c>
      <c r="O3" s="119"/>
      <c r="P3" s="119"/>
      <c r="Q3" s="118"/>
      <c r="R3" s="119"/>
      <c r="S3" s="119"/>
      <c r="T3" s="119"/>
      <c r="U3" s="117">
        <v>117.0</v>
      </c>
      <c r="V3" s="119"/>
      <c r="W3" s="119"/>
      <c r="X3" s="119"/>
      <c r="Y3" s="119"/>
      <c r="Z3" s="119"/>
      <c r="AA3" s="120">
        <f t="shared" ref="AA3:AA108" si="1">sum(C3:L3,N3:Q3)-sum(S3:Z3)</f>
        <v>0</v>
      </c>
      <c r="AB3" s="121"/>
      <c r="AC3" s="111"/>
      <c r="AD3" s="111"/>
    </row>
    <row r="4">
      <c r="A4" s="117">
        <v>44498.0</v>
      </c>
      <c r="B4" s="117" t="s">
        <v>71</v>
      </c>
      <c r="C4" s="118"/>
      <c r="D4" s="119"/>
      <c r="E4" s="119"/>
      <c r="F4" s="119"/>
      <c r="G4" s="119"/>
      <c r="H4" s="119"/>
      <c r="I4" s="119"/>
      <c r="J4" s="119"/>
      <c r="K4" s="119"/>
      <c r="L4" s="119"/>
      <c r="M4" s="117" t="s">
        <v>72</v>
      </c>
      <c r="N4" s="117">
        <v>4672.0</v>
      </c>
      <c r="O4" s="119"/>
      <c r="P4" s="119"/>
      <c r="Q4" s="118"/>
      <c r="R4" s="119"/>
      <c r="S4" s="119"/>
      <c r="T4" s="119"/>
      <c r="U4" s="117">
        <v>4672.0</v>
      </c>
      <c r="V4" s="119"/>
      <c r="W4" s="119"/>
      <c r="X4" s="119"/>
      <c r="Y4" s="119"/>
      <c r="Z4" s="119"/>
      <c r="AA4" s="120">
        <f t="shared" si="1"/>
        <v>0</v>
      </c>
      <c r="AB4" s="122"/>
      <c r="AC4" s="122"/>
      <c r="AD4" s="122"/>
    </row>
    <row r="5">
      <c r="A5" s="117">
        <v>44495.0</v>
      </c>
      <c r="B5" s="117" t="s">
        <v>73</v>
      </c>
      <c r="C5" s="118"/>
      <c r="D5" s="119"/>
      <c r="E5" s="119"/>
      <c r="F5" s="119"/>
      <c r="G5" s="119"/>
      <c r="H5" s="119"/>
      <c r="I5" s="119"/>
      <c r="J5" s="119"/>
      <c r="K5" s="119"/>
      <c r="L5" s="119"/>
      <c r="M5" s="117" t="s">
        <v>72</v>
      </c>
      <c r="N5" s="117">
        <v>319.0</v>
      </c>
      <c r="O5" s="119"/>
      <c r="P5" s="119"/>
      <c r="Q5" s="118"/>
      <c r="R5" s="119"/>
      <c r="S5" s="119"/>
      <c r="T5" s="119"/>
      <c r="U5" s="117">
        <v>319.0</v>
      </c>
      <c r="V5" s="119"/>
      <c r="W5" s="119"/>
      <c r="X5" s="119"/>
      <c r="Y5" s="119"/>
      <c r="Z5" s="119"/>
      <c r="AA5" s="120">
        <f t="shared" si="1"/>
        <v>0</v>
      </c>
      <c r="AB5" s="111"/>
      <c r="AC5" s="111"/>
      <c r="AD5" s="111"/>
    </row>
    <row r="6">
      <c r="A6" s="117">
        <v>44494.0</v>
      </c>
      <c r="B6" s="117" t="s">
        <v>74</v>
      </c>
      <c r="C6" s="118"/>
      <c r="D6" s="119"/>
      <c r="E6" s="119"/>
      <c r="F6" s="119"/>
      <c r="G6" s="119"/>
      <c r="H6" s="119"/>
      <c r="I6" s="119"/>
      <c r="J6" s="119"/>
      <c r="K6" s="119"/>
      <c r="L6" s="119"/>
      <c r="M6" s="117" t="s">
        <v>72</v>
      </c>
      <c r="N6" s="117">
        <v>4743.0</v>
      </c>
      <c r="O6" s="119"/>
      <c r="P6" s="119"/>
      <c r="Q6" s="118"/>
      <c r="R6" s="119"/>
      <c r="S6" s="119"/>
      <c r="T6" s="119"/>
      <c r="U6" s="117">
        <v>4743.0</v>
      </c>
      <c r="V6" s="119"/>
      <c r="W6" s="119"/>
      <c r="X6" s="119"/>
      <c r="Y6" s="119"/>
      <c r="Z6" s="119"/>
      <c r="AA6" s="120">
        <f t="shared" si="1"/>
        <v>0</v>
      </c>
      <c r="AB6" s="111"/>
      <c r="AC6" s="111"/>
      <c r="AD6" s="111"/>
    </row>
    <row r="7">
      <c r="A7" s="117">
        <v>44491.0</v>
      </c>
      <c r="B7" s="117" t="s">
        <v>71</v>
      </c>
      <c r="C7" s="118"/>
      <c r="D7" s="119"/>
      <c r="E7" s="119"/>
      <c r="F7" s="119"/>
      <c r="G7" s="119"/>
      <c r="H7" s="119"/>
      <c r="I7" s="119"/>
      <c r="J7" s="119"/>
      <c r="K7" s="119"/>
      <c r="L7" s="119"/>
      <c r="M7" s="117" t="s">
        <v>72</v>
      </c>
      <c r="N7" s="117">
        <v>3323.0</v>
      </c>
      <c r="O7" s="119"/>
      <c r="P7" s="119"/>
      <c r="Q7" s="118"/>
      <c r="R7" s="119"/>
      <c r="S7" s="119"/>
      <c r="T7" s="119"/>
      <c r="U7" s="117">
        <v>3323.0</v>
      </c>
      <c r="V7" s="119"/>
      <c r="W7" s="119"/>
      <c r="X7" s="119"/>
      <c r="Y7" s="119"/>
      <c r="Z7" s="119"/>
      <c r="AA7" s="120">
        <f t="shared" si="1"/>
        <v>0</v>
      </c>
      <c r="AB7" s="122"/>
      <c r="AC7" s="122"/>
      <c r="AD7" s="122"/>
    </row>
    <row r="8">
      <c r="A8" s="117">
        <v>44491.0</v>
      </c>
      <c r="B8" s="117" t="s">
        <v>75</v>
      </c>
      <c r="C8" s="118"/>
      <c r="D8" s="119"/>
      <c r="E8" s="119"/>
      <c r="F8" s="119"/>
      <c r="G8" s="119"/>
      <c r="H8" s="119"/>
      <c r="I8" s="119"/>
      <c r="J8" s="119"/>
      <c r="K8" s="119"/>
      <c r="L8" s="119"/>
      <c r="M8" s="117" t="s">
        <v>72</v>
      </c>
      <c r="N8" s="117">
        <v>208.0</v>
      </c>
      <c r="O8" s="119"/>
      <c r="P8" s="119"/>
      <c r="Q8" s="118"/>
      <c r="R8" s="119"/>
      <c r="S8" s="119"/>
      <c r="T8" s="119"/>
      <c r="U8" s="117">
        <v>208.0</v>
      </c>
      <c r="V8" s="119"/>
      <c r="W8" s="119"/>
      <c r="X8" s="119"/>
      <c r="Y8" s="119"/>
      <c r="Z8" s="119"/>
      <c r="AA8" s="120">
        <f t="shared" si="1"/>
        <v>0</v>
      </c>
      <c r="AB8" s="121"/>
      <c r="AC8" s="122"/>
      <c r="AD8" s="122"/>
    </row>
    <row r="9">
      <c r="A9" s="117">
        <v>44489.0</v>
      </c>
      <c r="B9" s="117" t="s">
        <v>74</v>
      </c>
      <c r="C9" s="118"/>
      <c r="D9" s="119"/>
      <c r="E9" s="119"/>
      <c r="F9" s="119"/>
      <c r="G9" s="119"/>
      <c r="H9" s="119"/>
      <c r="I9" s="119"/>
      <c r="J9" s="119"/>
      <c r="K9" s="119"/>
      <c r="L9" s="119"/>
      <c r="M9" s="117" t="s">
        <v>72</v>
      </c>
      <c r="N9" s="117">
        <v>963.0</v>
      </c>
      <c r="O9" s="119"/>
      <c r="P9" s="119"/>
      <c r="Q9" s="118"/>
      <c r="R9" s="119"/>
      <c r="S9" s="119"/>
      <c r="T9" s="119"/>
      <c r="U9" s="117">
        <v>963.0</v>
      </c>
      <c r="V9" s="119"/>
      <c r="W9" s="119"/>
      <c r="X9" s="119"/>
      <c r="Y9" s="119"/>
      <c r="Z9" s="119"/>
      <c r="AA9" s="120">
        <f t="shared" si="1"/>
        <v>0</v>
      </c>
      <c r="AB9" s="121"/>
      <c r="AC9" s="122"/>
      <c r="AD9" s="122"/>
    </row>
    <row r="10">
      <c r="A10" s="117">
        <v>44488.0</v>
      </c>
      <c r="B10" s="117" t="s">
        <v>73</v>
      </c>
      <c r="C10" s="118"/>
      <c r="D10" s="119"/>
      <c r="E10" s="119"/>
      <c r="F10" s="119"/>
      <c r="G10" s="119"/>
      <c r="H10" s="119"/>
      <c r="I10" s="119"/>
      <c r="J10" s="119"/>
      <c r="K10" s="119"/>
      <c r="L10" s="119"/>
      <c r="M10" s="117" t="s">
        <v>72</v>
      </c>
      <c r="N10" s="117">
        <v>140.0</v>
      </c>
      <c r="O10" s="119"/>
      <c r="P10" s="119"/>
      <c r="Q10" s="118"/>
      <c r="R10" s="119"/>
      <c r="S10" s="119"/>
      <c r="T10" s="119"/>
      <c r="U10" s="117">
        <v>140.0</v>
      </c>
      <c r="V10" s="119"/>
      <c r="W10" s="119"/>
      <c r="X10" s="119"/>
      <c r="Y10" s="119"/>
      <c r="Z10" s="119"/>
      <c r="AA10" s="120">
        <f t="shared" si="1"/>
        <v>0</v>
      </c>
      <c r="AB10" s="122"/>
      <c r="AC10" s="122"/>
      <c r="AD10" s="122"/>
    </row>
    <row r="11">
      <c r="A11" s="117">
        <v>44485.0</v>
      </c>
      <c r="B11" s="117" t="s">
        <v>75</v>
      </c>
      <c r="C11" s="118"/>
      <c r="D11" s="119"/>
      <c r="E11" s="119"/>
      <c r="F11" s="119"/>
      <c r="G11" s="119"/>
      <c r="H11" s="119"/>
      <c r="I11" s="119"/>
      <c r="J11" s="119"/>
      <c r="K11" s="119"/>
      <c r="L11" s="119"/>
      <c r="M11" s="117" t="s">
        <v>72</v>
      </c>
      <c r="N11" s="117">
        <v>435.0</v>
      </c>
      <c r="O11" s="119"/>
      <c r="P11" s="119"/>
      <c r="Q11" s="118"/>
      <c r="R11" s="119"/>
      <c r="S11" s="119"/>
      <c r="T11" s="119"/>
      <c r="U11" s="117">
        <v>435.0</v>
      </c>
      <c r="V11" s="119"/>
      <c r="W11" s="119"/>
      <c r="X11" s="119"/>
      <c r="Y11" s="119"/>
      <c r="Z11" s="119"/>
      <c r="AA11" s="120">
        <f t="shared" si="1"/>
        <v>0</v>
      </c>
      <c r="AB11" s="122"/>
      <c r="AC11" s="122"/>
      <c r="AD11" s="122"/>
    </row>
    <row r="12">
      <c r="A12" s="117">
        <v>44484.0</v>
      </c>
      <c r="B12" s="117" t="s">
        <v>74</v>
      </c>
      <c r="C12" s="118"/>
      <c r="D12" s="119"/>
      <c r="E12" s="119"/>
      <c r="F12" s="119"/>
      <c r="G12" s="119"/>
      <c r="H12" s="119"/>
      <c r="I12" s="119"/>
      <c r="J12" s="119"/>
      <c r="K12" s="119"/>
      <c r="L12" s="119"/>
      <c r="M12" s="117" t="s">
        <v>72</v>
      </c>
      <c r="N12" s="117">
        <v>6532.0</v>
      </c>
      <c r="O12" s="119"/>
      <c r="P12" s="119"/>
      <c r="Q12" s="118"/>
      <c r="R12" s="119"/>
      <c r="S12" s="119"/>
      <c r="T12" s="119"/>
      <c r="U12" s="117">
        <v>6532.0</v>
      </c>
      <c r="V12" s="119"/>
      <c r="W12" s="119"/>
      <c r="X12" s="119"/>
      <c r="Y12" s="119"/>
      <c r="Z12" s="119"/>
      <c r="AA12" s="120">
        <f t="shared" si="1"/>
        <v>0</v>
      </c>
      <c r="AB12" s="122"/>
      <c r="AC12" s="122"/>
      <c r="AD12" s="122"/>
    </row>
    <row r="13">
      <c r="A13" s="117">
        <v>44484.0</v>
      </c>
      <c r="B13" s="117" t="s">
        <v>74</v>
      </c>
      <c r="C13" s="118"/>
      <c r="D13" s="119"/>
      <c r="E13" s="119"/>
      <c r="F13" s="119"/>
      <c r="G13" s="119"/>
      <c r="H13" s="119"/>
      <c r="I13" s="119"/>
      <c r="J13" s="119"/>
      <c r="K13" s="119"/>
      <c r="L13" s="119"/>
      <c r="M13" s="117" t="s">
        <v>72</v>
      </c>
      <c r="N13" s="117">
        <v>483.0</v>
      </c>
      <c r="O13" s="119"/>
      <c r="P13" s="119"/>
      <c r="Q13" s="118"/>
      <c r="R13" s="119"/>
      <c r="S13" s="119"/>
      <c r="T13" s="119"/>
      <c r="U13" s="117">
        <v>483.0</v>
      </c>
      <c r="V13" s="119"/>
      <c r="W13" s="119"/>
      <c r="X13" s="119"/>
      <c r="Y13" s="119"/>
      <c r="Z13" s="119"/>
      <c r="AA13" s="120">
        <f t="shared" si="1"/>
        <v>0</v>
      </c>
      <c r="AB13" s="122"/>
      <c r="AC13" s="122"/>
      <c r="AD13" s="122"/>
    </row>
    <row r="14">
      <c r="A14" s="117">
        <v>44484.0</v>
      </c>
      <c r="B14" s="117" t="s">
        <v>75</v>
      </c>
      <c r="C14" s="118"/>
      <c r="D14" s="119"/>
      <c r="E14" s="119"/>
      <c r="F14" s="119"/>
      <c r="G14" s="119"/>
      <c r="H14" s="119"/>
      <c r="I14" s="119"/>
      <c r="J14" s="119"/>
      <c r="K14" s="119"/>
      <c r="L14" s="119"/>
      <c r="M14" s="117" t="s">
        <v>72</v>
      </c>
      <c r="N14" s="117">
        <v>315.0</v>
      </c>
      <c r="O14" s="119"/>
      <c r="P14" s="119"/>
      <c r="Q14" s="118"/>
      <c r="R14" s="119"/>
      <c r="S14" s="119"/>
      <c r="T14" s="119"/>
      <c r="U14" s="117">
        <v>315.0</v>
      </c>
      <c r="V14" s="119"/>
      <c r="W14" s="119"/>
      <c r="X14" s="119"/>
      <c r="Y14" s="119"/>
      <c r="Z14" s="119"/>
      <c r="AA14" s="120">
        <f t="shared" si="1"/>
        <v>0</v>
      </c>
      <c r="AB14" s="122"/>
      <c r="AC14" s="122"/>
      <c r="AD14" s="122"/>
    </row>
    <row r="15">
      <c r="A15" s="117">
        <v>44481.0</v>
      </c>
      <c r="B15" s="117" t="s">
        <v>74</v>
      </c>
      <c r="C15" s="118"/>
      <c r="D15" s="119"/>
      <c r="E15" s="119"/>
      <c r="F15" s="119"/>
      <c r="G15" s="119"/>
      <c r="H15" s="119"/>
      <c r="I15" s="119"/>
      <c r="J15" s="119"/>
      <c r="K15" s="119"/>
      <c r="L15" s="119"/>
      <c r="M15" s="117" t="s">
        <v>72</v>
      </c>
      <c r="N15" s="117">
        <v>2231.0</v>
      </c>
      <c r="O15" s="119"/>
      <c r="P15" s="119"/>
      <c r="Q15" s="118"/>
      <c r="R15" s="119"/>
      <c r="S15" s="119"/>
      <c r="T15" s="119"/>
      <c r="U15" s="117">
        <v>2231.0</v>
      </c>
      <c r="V15" s="119"/>
      <c r="W15" s="119"/>
      <c r="X15" s="119"/>
      <c r="Y15" s="119"/>
      <c r="Z15" s="119"/>
      <c r="AA15" s="120">
        <f t="shared" si="1"/>
        <v>0</v>
      </c>
      <c r="AB15" s="122"/>
      <c r="AC15" s="122"/>
      <c r="AD15" s="122"/>
    </row>
    <row r="16">
      <c r="A16" s="117">
        <v>44481.0</v>
      </c>
      <c r="B16" s="117" t="s">
        <v>73</v>
      </c>
      <c r="C16" s="118"/>
      <c r="D16" s="119"/>
      <c r="E16" s="119"/>
      <c r="F16" s="119"/>
      <c r="G16" s="119"/>
      <c r="H16" s="119"/>
      <c r="I16" s="119"/>
      <c r="J16" s="119"/>
      <c r="K16" s="119"/>
      <c r="L16" s="119"/>
      <c r="M16" s="117" t="s">
        <v>72</v>
      </c>
      <c r="N16" s="117">
        <v>151.0</v>
      </c>
      <c r="O16" s="119"/>
      <c r="P16" s="119"/>
      <c r="Q16" s="118"/>
      <c r="R16" s="119"/>
      <c r="S16" s="119"/>
      <c r="T16" s="119"/>
      <c r="U16" s="117">
        <v>151.0</v>
      </c>
      <c r="V16" s="119"/>
      <c r="W16" s="119"/>
      <c r="X16" s="119"/>
      <c r="Y16" s="119"/>
      <c r="Z16" s="119"/>
      <c r="AA16" s="120">
        <f t="shared" si="1"/>
        <v>0</v>
      </c>
      <c r="AB16" s="121"/>
      <c r="AC16" s="122"/>
      <c r="AD16" s="122"/>
    </row>
    <row r="17">
      <c r="A17" s="117">
        <v>44480.0</v>
      </c>
      <c r="B17" s="117" t="s">
        <v>73</v>
      </c>
      <c r="C17" s="118"/>
      <c r="D17" s="119"/>
      <c r="E17" s="119"/>
      <c r="F17" s="119"/>
      <c r="G17" s="119"/>
      <c r="H17" s="119"/>
      <c r="I17" s="119"/>
      <c r="J17" s="119"/>
      <c r="K17" s="119"/>
      <c r="L17" s="119"/>
      <c r="M17" s="117" t="s">
        <v>72</v>
      </c>
      <c r="N17" s="117">
        <v>216.0</v>
      </c>
      <c r="O17" s="119"/>
      <c r="P17" s="119"/>
      <c r="Q17" s="118"/>
      <c r="R17" s="119"/>
      <c r="S17" s="119"/>
      <c r="T17" s="119"/>
      <c r="U17" s="117">
        <v>216.0</v>
      </c>
      <c r="V17" s="119"/>
      <c r="W17" s="119"/>
      <c r="X17" s="119"/>
      <c r="Y17" s="119"/>
      <c r="Z17" s="119"/>
      <c r="AA17" s="120">
        <f t="shared" si="1"/>
        <v>0</v>
      </c>
      <c r="AB17" s="122"/>
      <c r="AC17" s="122"/>
      <c r="AD17" s="122"/>
    </row>
    <row r="18">
      <c r="A18" s="117">
        <v>44478.0</v>
      </c>
      <c r="B18" s="117" t="s">
        <v>74</v>
      </c>
      <c r="C18" s="118"/>
      <c r="D18" s="119"/>
      <c r="E18" s="119"/>
      <c r="F18" s="119"/>
      <c r="G18" s="119"/>
      <c r="H18" s="119"/>
      <c r="I18" s="119"/>
      <c r="J18" s="119"/>
      <c r="K18" s="119"/>
      <c r="L18" s="119"/>
      <c r="M18" s="117" t="s">
        <v>72</v>
      </c>
      <c r="N18" s="117">
        <v>7482.0</v>
      </c>
      <c r="O18" s="119"/>
      <c r="P18" s="119"/>
      <c r="Q18" s="118"/>
      <c r="R18" s="119"/>
      <c r="S18" s="119"/>
      <c r="T18" s="119"/>
      <c r="U18" s="117">
        <v>7482.0</v>
      </c>
      <c r="V18" s="119"/>
      <c r="W18" s="119"/>
      <c r="X18" s="119"/>
      <c r="Y18" s="119"/>
      <c r="Z18" s="119"/>
      <c r="AA18" s="120">
        <f t="shared" si="1"/>
        <v>0</v>
      </c>
      <c r="AB18" s="111"/>
      <c r="AC18" s="111"/>
      <c r="AD18" s="111"/>
    </row>
    <row r="19">
      <c r="A19" s="117">
        <v>44476.0</v>
      </c>
      <c r="B19" s="117" t="s">
        <v>74</v>
      </c>
      <c r="C19" s="118"/>
      <c r="D19" s="119"/>
      <c r="E19" s="119"/>
      <c r="F19" s="119"/>
      <c r="G19" s="119"/>
      <c r="H19" s="119"/>
      <c r="I19" s="119"/>
      <c r="J19" s="119"/>
      <c r="K19" s="119"/>
      <c r="L19" s="119"/>
      <c r="M19" s="117" t="s">
        <v>72</v>
      </c>
      <c r="N19" s="117">
        <v>4544.0</v>
      </c>
      <c r="O19" s="119"/>
      <c r="P19" s="119"/>
      <c r="Q19" s="118"/>
      <c r="R19" s="119"/>
      <c r="S19" s="119"/>
      <c r="T19" s="119"/>
      <c r="U19" s="117">
        <v>4544.0</v>
      </c>
      <c r="V19" s="119"/>
      <c r="W19" s="119"/>
      <c r="X19" s="119"/>
      <c r="Y19" s="119"/>
      <c r="Z19" s="119"/>
      <c r="AA19" s="120">
        <f t="shared" si="1"/>
        <v>0</v>
      </c>
      <c r="AB19" s="111"/>
      <c r="AC19" s="111"/>
      <c r="AD19" s="111"/>
    </row>
    <row r="20">
      <c r="A20" s="117">
        <v>44476.0</v>
      </c>
      <c r="B20" s="117" t="s">
        <v>73</v>
      </c>
      <c r="C20" s="118"/>
      <c r="D20" s="119"/>
      <c r="E20" s="119"/>
      <c r="F20" s="119"/>
      <c r="G20" s="119"/>
      <c r="H20" s="119"/>
      <c r="I20" s="119"/>
      <c r="J20" s="119"/>
      <c r="K20" s="119"/>
      <c r="L20" s="119"/>
      <c r="M20" s="117" t="s">
        <v>72</v>
      </c>
      <c r="N20" s="117">
        <v>274.0</v>
      </c>
      <c r="O20" s="119"/>
      <c r="P20" s="119"/>
      <c r="Q20" s="118"/>
      <c r="R20" s="119"/>
      <c r="S20" s="119"/>
      <c r="T20" s="119"/>
      <c r="U20" s="117">
        <v>274.0</v>
      </c>
      <c r="V20" s="119"/>
      <c r="W20" s="119"/>
      <c r="X20" s="119"/>
      <c r="Y20" s="119"/>
      <c r="Z20" s="119"/>
      <c r="AA20" s="120">
        <f t="shared" si="1"/>
        <v>0</v>
      </c>
      <c r="AB20" s="111"/>
      <c r="AC20" s="111"/>
      <c r="AD20" s="111"/>
    </row>
    <row r="21">
      <c r="A21" s="117">
        <v>44474.0</v>
      </c>
      <c r="B21" s="117" t="s">
        <v>74</v>
      </c>
      <c r="C21" s="118"/>
      <c r="D21" s="119"/>
      <c r="E21" s="119"/>
      <c r="F21" s="119"/>
      <c r="G21" s="119"/>
      <c r="H21" s="119"/>
      <c r="I21" s="119"/>
      <c r="J21" s="119"/>
      <c r="K21" s="119"/>
      <c r="L21" s="119"/>
      <c r="M21" s="117" t="s">
        <v>72</v>
      </c>
      <c r="N21" s="117">
        <v>2954.0</v>
      </c>
      <c r="O21" s="119"/>
      <c r="P21" s="119"/>
      <c r="Q21" s="118"/>
      <c r="R21" s="119"/>
      <c r="S21" s="119"/>
      <c r="T21" s="119"/>
      <c r="U21" s="117">
        <v>2954.0</v>
      </c>
      <c r="V21" s="119"/>
      <c r="W21" s="119"/>
      <c r="X21" s="119"/>
      <c r="Y21" s="119"/>
      <c r="Z21" s="119"/>
      <c r="AA21" s="120">
        <f t="shared" si="1"/>
        <v>0</v>
      </c>
      <c r="AB21" s="111"/>
      <c r="AC21" s="111"/>
      <c r="AD21" s="111"/>
    </row>
    <row r="22">
      <c r="A22" s="117">
        <v>44473.0</v>
      </c>
      <c r="B22" s="117" t="s">
        <v>73</v>
      </c>
      <c r="C22" s="118"/>
      <c r="D22" s="119"/>
      <c r="E22" s="119"/>
      <c r="F22" s="119"/>
      <c r="G22" s="119"/>
      <c r="H22" s="119"/>
      <c r="I22" s="119"/>
      <c r="J22" s="119"/>
      <c r="K22" s="119"/>
      <c r="L22" s="119"/>
      <c r="M22" s="117" t="s">
        <v>72</v>
      </c>
      <c r="N22" s="117">
        <v>303.0</v>
      </c>
      <c r="O22" s="119"/>
      <c r="P22" s="119"/>
      <c r="Q22" s="118"/>
      <c r="R22" s="119"/>
      <c r="S22" s="119"/>
      <c r="T22" s="119"/>
      <c r="U22" s="117">
        <v>303.0</v>
      </c>
      <c r="V22" s="119"/>
      <c r="W22" s="119"/>
      <c r="X22" s="119"/>
      <c r="Y22" s="119"/>
      <c r="Z22" s="119"/>
      <c r="AA22" s="120">
        <f t="shared" si="1"/>
        <v>0</v>
      </c>
      <c r="AB22" s="122"/>
      <c r="AC22" s="122"/>
      <c r="AD22" s="122"/>
    </row>
    <row r="23">
      <c r="A23" s="117">
        <v>44472.0</v>
      </c>
      <c r="B23" s="117" t="s">
        <v>73</v>
      </c>
      <c r="C23" s="118"/>
      <c r="D23" s="119"/>
      <c r="E23" s="119"/>
      <c r="F23" s="119"/>
      <c r="G23" s="119"/>
      <c r="H23" s="119"/>
      <c r="I23" s="119"/>
      <c r="J23" s="119"/>
      <c r="K23" s="119"/>
      <c r="L23" s="119"/>
      <c r="M23" s="117" t="s">
        <v>72</v>
      </c>
      <c r="N23" s="117">
        <v>706.0</v>
      </c>
      <c r="O23" s="119"/>
      <c r="P23" s="119"/>
      <c r="Q23" s="118"/>
      <c r="R23" s="119"/>
      <c r="S23" s="119"/>
      <c r="T23" s="119"/>
      <c r="U23" s="117">
        <v>706.0</v>
      </c>
      <c r="V23" s="119"/>
      <c r="W23" s="119"/>
      <c r="X23" s="119"/>
      <c r="Y23" s="119"/>
      <c r="Z23" s="119"/>
      <c r="AA23" s="120">
        <f t="shared" si="1"/>
        <v>0</v>
      </c>
      <c r="AB23" s="122"/>
      <c r="AC23" s="122"/>
      <c r="AD23" s="122"/>
    </row>
    <row r="24">
      <c r="A24" s="117">
        <v>44472.0</v>
      </c>
      <c r="B24" s="117" t="s">
        <v>76</v>
      </c>
      <c r="C24" s="118"/>
      <c r="D24" s="119"/>
      <c r="E24" s="119"/>
      <c r="F24" s="119"/>
      <c r="G24" s="119"/>
      <c r="H24" s="119"/>
      <c r="I24" s="119"/>
      <c r="J24" s="119"/>
      <c r="K24" s="119"/>
      <c r="L24" s="119"/>
      <c r="M24" s="117" t="s">
        <v>72</v>
      </c>
      <c r="N24" s="117">
        <v>680.0</v>
      </c>
      <c r="O24" s="119"/>
      <c r="P24" s="119"/>
      <c r="Q24" s="118"/>
      <c r="R24" s="119"/>
      <c r="S24" s="119"/>
      <c r="T24" s="119"/>
      <c r="U24" s="117">
        <v>680.0</v>
      </c>
      <c r="V24" s="119"/>
      <c r="W24" s="119"/>
      <c r="X24" s="119"/>
      <c r="Y24" s="119"/>
      <c r="Z24" s="119"/>
      <c r="AA24" s="120">
        <f t="shared" si="1"/>
        <v>0</v>
      </c>
      <c r="AB24" s="122"/>
      <c r="AC24" s="122"/>
      <c r="AD24" s="122"/>
    </row>
    <row r="25">
      <c r="A25" s="117">
        <v>44471.0</v>
      </c>
      <c r="B25" s="117" t="s">
        <v>73</v>
      </c>
      <c r="C25" s="118"/>
      <c r="D25" s="119"/>
      <c r="E25" s="119"/>
      <c r="F25" s="119"/>
      <c r="G25" s="119"/>
      <c r="H25" s="119"/>
      <c r="I25" s="119"/>
      <c r="J25" s="119"/>
      <c r="K25" s="119"/>
      <c r="L25" s="119"/>
      <c r="M25" s="117" t="s">
        <v>72</v>
      </c>
      <c r="N25" s="117">
        <v>438.0</v>
      </c>
      <c r="O25" s="119"/>
      <c r="P25" s="119"/>
      <c r="Q25" s="118"/>
      <c r="R25" s="119"/>
      <c r="S25" s="119"/>
      <c r="T25" s="119"/>
      <c r="U25" s="117">
        <v>438.0</v>
      </c>
      <c r="V25" s="119"/>
      <c r="W25" s="119"/>
      <c r="X25" s="119"/>
      <c r="Y25" s="119"/>
      <c r="Z25" s="119"/>
      <c r="AA25" s="120">
        <f t="shared" si="1"/>
        <v>0</v>
      </c>
      <c r="AB25" s="122"/>
      <c r="AC25" s="122"/>
      <c r="AD25" s="122"/>
    </row>
    <row r="26">
      <c r="A26" s="117">
        <v>44471.0</v>
      </c>
      <c r="B26" s="117" t="s">
        <v>73</v>
      </c>
      <c r="C26" s="118"/>
      <c r="D26" s="119"/>
      <c r="E26" s="119"/>
      <c r="F26" s="119"/>
      <c r="G26" s="119"/>
      <c r="H26" s="119"/>
      <c r="I26" s="119"/>
      <c r="J26" s="119"/>
      <c r="K26" s="119"/>
      <c r="L26" s="119"/>
      <c r="M26" s="117" t="s">
        <v>72</v>
      </c>
      <c r="N26" s="117">
        <v>140.0</v>
      </c>
      <c r="O26" s="119"/>
      <c r="P26" s="119"/>
      <c r="Q26" s="118"/>
      <c r="R26" s="119"/>
      <c r="S26" s="119"/>
      <c r="T26" s="119"/>
      <c r="U26" s="117">
        <v>140.0</v>
      </c>
      <c r="V26" s="119"/>
      <c r="W26" s="119"/>
      <c r="X26" s="119"/>
      <c r="Y26" s="119"/>
      <c r="Z26" s="119"/>
      <c r="AA26" s="120">
        <f t="shared" si="1"/>
        <v>0</v>
      </c>
      <c r="AB26" s="122"/>
      <c r="AC26" s="122"/>
      <c r="AD26" s="122"/>
    </row>
    <row r="27">
      <c r="A27" s="117">
        <v>44485.0</v>
      </c>
      <c r="B27" s="117" t="s">
        <v>77</v>
      </c>
      <c r="C27" s="118"/>
      <c r="D27" s="119"/>
      <c r="E27" s="119"/>
      <c r="F27" s="119"/>
      <c r="G27" s="119"/>
      <c r="H27" s="119"/>
      <c r="I27" s="119"/>
      <c r="J27" s="119"/>
      <c r="K27" s="119"/>
      <c r="L27" s="119"/>
      <c r="M27" s="117" t="s">
        <v>72</v>
      </c>
      <c r="N27" s="119"/>
      <c r="O27" s="119"/>
      <c r="P27" s="119"/>
      <c r="Q27" s="117">
        <v>250.0</v>
      </c>
      <c r="R27" s="119"/>
      <c r="S27" s="119"/>
      <c r="T27" s="119"/>
      <c r="U27" s="117">
        <v>250.0</v>
      </c>
      <c r="V27" s="119"/>
      <c r="W27" s="119"/>
      <c r="X27" s="119"/>
      <c r="Y27" s="119"/>
      <c r="Z27" s="119"/>
      <c r="AA27" s="120">
        <f t="shared" si="1"/>
        <v>0</v>
      </c>
      <c r="AB27" s="121"/>
      <c r="AC27" s="111"/>
      <c r="AD27" s="111"/>
    </row>
    <row r="28">
      <c r="A28" s="117">
        <v>44497.0</v>
      </c>
      <c r="B28" s="117" t="s">
        <v>78</v>
      </c>
      <c r="C28" s="118"/>
      <c r="D28" s="119"/>
      <c r="E28" s="119"/>
      <c r="F28" s="119"/>
      <c r="G28" s="119"/>
      <c r="H28" s="119"/>
      <c r="I28" s="119"/>
      <c r="J28" s="119"/>
      <c r="K28" s="119"/>
      <c r="M28" s="117" t="s">
        <v>79</v>
      </c>
      <c r="N28" s="119"/>
      <c r="O28" s="119"/>
      <c r="Q28" s="117">
        <v>4647.0</v>
      </c>
      <c r="R28" s="119"/>
      <c r="S28" s="119"/>
      <c r="T28" s="119"/>
      <c r="U28" s="117">
        <v>4647.0</v>
      </c>
      <c r="V28" s="119"/>
      <c r="W28" s="119"/>
      <c r="X28" s="119"/>
      <c r="Y28" s="119"/>
      <c r="Z28" s="119"/>
      <c r="AA28" s="120">
        <f t="shared" si="1"/>
        <v>0</v>
      </c>
      <c r="AB28" s="122"/>
      <c r="AC28" s="122"/>
      <c r="AD28" s="122"/>
    </row>
    <row r="29">
      <c r="A29" s="117">
        <v>44488.0</v>
      </c>
      <c r="B29" s="117" t="s">
        <v>80</v>
      </c>
      <c r="C29" s="118"/>
      <c r="D29" s="119"/>
      <c r="E29" s="119"/>
      <c r="F29" s="119"/>
      <c r="G29" s="119"/>
      <c r="H29" s="119"/>
      <c r="I29" s="119"/>
      <c r="J29" s="119"/>
      <c r="K29" s="119"/>
      <c r="M29" s="117" t="s">
        <v>81</v>
      </c>
      <c r="N29" s="119"/>
      <c r="O29" s="119"/>
      <c r="P29" s="117">
        <v>1000.0</v>
      </c>
      <c r="Q29" s="118"/>
      <c r="R29" s="119"/>
      <c r="S29" s="119"/>
      <c r="T29" s="119"/>
      <c r="U29" s="117">
        <v>1000.0</v>
      </c>
      <c r="V29" s="119"/>
      <c r="W29" s="119"/>
      <c r="X29" s="119"/>
      <c r="Y29" s="119"/>
      <c r="Z29" s="119"/>
      <c r="AA29" s="120">
        <f t="shared" si="1"/>
        <v>0</v>
      </c>
      <c r="AB29" s="122"/>
      <c r="AC29" s="122"/>
      <c r="AD29" s="122"/>
    </row>
    <row r="30">
      <c r="A30" s="117">
        <v>44487.0</v>
      </c>
      <c r="B30" s="117" t="s">
        <v>80</v>
      </c>
      <c r="C30" s="118"/>
      <c r="D30" s="119"/>
      <c r="E30" s="119"/>
      <c r="F30" s="119"/>
      <c r="G30" s="119"/>
      <c r="H30" s="119"/>
      <c r="I30" s="119"/>
      <c r="J30" s="119"/>
      <c r="K30" s="119"/>
      <c r="M30" s="117" t="s">
        <v>79</v>
      </c>
      <c r="N30" s="119"/>
      <c r="O30" s="119"/>
      <c r="P30" s="117">
        <v>7480.0</v>
      </c>
      <c r="Q30" s="118"/>
      <c r="R30" s="119"/>
      <c r="S30" s="119"/>
      <c r="T30" s="119"/>
      <c r="U30" s="117">
        <v>7480.0</v>
      </c>
      <c r="V30" s="119"/>
      <c r="W30" s="119"/>
      <c r="X30" s="119"/>
      <c r="Y30" s="119"/>
      <c r="Z30" s="119"/>
      <c r="AA30" s="120">
        <f t="shared" si="1"/>
        <v>0</v>
      </c>
      <c r="AB30" s="122"/>
      <c r="AC30" s="122"/>
      <c r="AD30" s="122"/>
    </row>
    <row r="31">
      <c r="A31" s="117">
        <v>44486.0</v>
      </c>
      <c r="B31" s="117" t="s">
        <v>82</v>
      </c>
      <c r="C31" s="118"/>
      <c r="D31" s="119"/>
      <c r="E31" s="119"/>
      <c r="F31" s="119"/>
      <c r="G31" s="119"/>
      <c r="H31" s="119"/>
      <c r="I31" s="119"/>
      <c r="J31" s="119"/>
      <c r="K31" s="119"/>
      <c r="M31" s="117" t="s">
        <v>81</v>
      </c>
      <c r="N31" s="119"/>
      <c r="O31" s="119"/>
      <c r="P31" s="117">
        <v>2800.0</v>
      </c>
      <c r="Q31" s="118"/>
      <c r="R31" s="119"/>
      <c r="S31" s="119"/>
      <c r="T31" s="119"/>
      <c r="U31" s="117">
        <v>2800.0</v>
      </c>
      <c r="V31" s="119"/>
      <c r="W31" s="119"/>
      <c r="X31" s="119"/>
      <c r="Y31" s="119"/>
      <c r="Z31" s="119"/>
      <c r="AA31" s="120">
        <f t="shared" si="1"/>
        <v>0</v>
      </c>
      <c r="AB31" s="122"/>
      <c r="AC31" s="122"/>
      <c r="AD31" s="122"/>
    </row>
    <row r="32">
      <c r="A32" s="117">
        <v>44474.0</v>
      </c>
      <c r="B32" s="117" t="s">
        <v>83</v>
      </c>
      <c r="C32" s="118"/>
      <c r="D32" s="119"/>
      <c r="E32" s="119"/>
      <c r="F32" s="119"/>
      <c r="G32" s="119"/>
      <c r="H32" s="119"/>
      <c r="I32" s="119"/>
      <c r="J32" s="119"/>
      <c r="K32" s="119"/>
      <c r="M32" s="117" t="s">
        <v>79</v>
      </c>
      <c r="N32" s="119"/>
      <c r="O32" s="119"/>
      <c r="P32" s="117">
        <v>140.0</v>
      </c>
      <c r="Q32" s="118"/>
      <c r="R32" s="119"/>
      <c r="S32" s="119"/>
      <c r="T32" s="119"/>
      <c r="U32" s="117">
        <v>140.0</v>
      </c>
      <c r="V32" s="119"/>
      <c r="W32" s="119"/>
      <c r="X32" s="119"/>
      <c r="Y32" s="119"/>
      <c r="Z32" s="119"/>
      <c r="AA32" s="120">
        <f t="shared" si="1"/>
        <v>0</v>
      </c>
      <c r="AB32" s="121"/>
      <c r="AC32" s="122"/>
      <c r="AD32" s="122"/>
    </row>
    <row r="33">
      <c r="A33" s="117">
        <v>44485.0</v>
      </c>
      <c r="B33" s="117" t="s">
        <v>84</v>
      </c>
      <c r="C33" s="118"/>
      <c r="D33" s="119"/>
      <c r="E33" s="119"/>
      <c r="F33" s="119"/>
      <c r="G33" s="119"/>
      <c r="H33" s="119"/>
      <c r="I33" s="119"/>
      <c r="J33" s="119"/>
      <c r="K33" s="119"/>
      <c r="M33" s="117" t="s">
        <v>81</v>
      </c>
      <c r="N33" s="119"/>
      <c r="O33" s="119"/>
      <c r="P33" s="119"/>
      <c r="Q33" s="117">
        <v>224.0</v>
      </c>
      <c r="R33" s="119"/>
      <c r="S33" s="119"/>
      <c r="T33" s="119"/>
      <c r="U33" s="117">
        <v>224.0</v>
      </c>
      <c r="V33" s="119"/>
      <c r="W33" s="119"/>
      <c r="X33" s="119"/>
      <c r="Y33" s="119"/>
      <c r="Z33" s="119"/>
      <c r="AA33" s="120">
        <f t="shared" si="1"/>
        <v>0</v>
      </c>
      <c r="AB33" s="121"/>
      <c r="AC33" s="111"/>
      <c r="AD33" s="111"/>
    </row>
    <row r="34">
      <c r="A34" s="117">
        <v>44483.0</v>
      </c>
      <c r="B34" s="117" t="s">
        <v>85</v>
      </c>
      <c r="C34" s="118"/>
      <c r="D34" s="119"/>
      <c r="E34" s="119"/>
      <c r="F34" s="119"/>
      <c r="G34" s="119"/>
      <c r="H34" s="119"/>
      <c r="I34" s="119"/>
      <c r="J34" s="119"/>
      <c r="K34" s="119"/>
      <c r="M34" s="117" t="s">
        <v>72</v>
      </c>
      <c r="N34" s="119"/>
      <c r="O34" s="119"/>
      <c r="P34" s="119"/>
      <c r="Q34" s="117">
        <v>5605.0</v>
      </c>
      <c r="R34" s="119"/>
      <c r="S34" s="119"/>
      <c r="T34" s="119"/>
      <c r="U34" s="117">
        <v>5605.0</v>
      </c>
      <c r="V34" s="119"/>
      <c r="W34" s="119"/>
      <c r="X34" s="119"/>
      <c r="Y34" s="119"/>
      <c r="Z34" s="119"/>
      <c r="AA34" s="120">
        <f t="shared" si="1"/>
        <v>0</v>
      </c>
      <c r="AB34" s="111"/>
      <c r="AC34" s="111"/>
      <c r="AD34" s="111"/>
    </row>
    <row r="35">
      <c r="A35" s="117">
        <v>44482.0</v>
      </c>
      <c r="B35" s="117" t="s">
        <v>86</v>
      </c>
      <c r="C35" s="118"/>
      <c r="D35" s="119"/>
      <c r="E35" s="119"/>
      <c r="F35" s="119"/>
      <c r="G35" s="119"/>
      <c r="H35" s="119"/>
      <c r="I35" s="119"/>
      <c r="J35" s="119"/>
      <c r="K35" s="119"/>
      <c r="M35" s="117" t="s">
        <v>72</v>
      </c>
      <c r="N35" s="119"/>
      <c r="O35" s="119"/>
      <c r="P35" s="119"/>
      <c r="Q35" s="117">
        <v>24520.0</v>
      </c>
      <c r="R35" s="119"/>
      <c r="S35" s="119"/>
      <c r="T35" s="119"/>
      <c r="U35" s="117">
        <v>24520.0</v>
      </c>
      <c r="V35" s="119"/>
      <c r="W35" s="119"/>
      <c r="X35" s="119"/>
      <c r="Y35" s="119"/>
      <c r="Z35" s="119"/>
      <c r="AA35" s="120">
        <f t="shared" si="1"/>
        <v>0</v>
      </c>
      <c r="AB35" s="122"/>
      <c r="AC35" s="122"/>
      <c r="AD35" s="122"/>
    </row>
    <row r="36">
      <c r="A36" s="118"/>
      <c r="B36" s="117" t="s">
        <v>87</v>
      </c>
      <c r="C36" s="118"/>
      <c r="D36" s="119"/>
      <c r="E36" s="119"/>
      <c r="F36" s="119"/>
      <c r="G36" s="119"/>
      <c r="H36" s="119"/>
      <c r="I36" s="119"/>
      <c r="J36" s="119"/>
      <c r="K36" s="119"/>
      <c r="M36" s="117" t="s">
        <v>79</v>
      </c>
      <c r="N36" s="119"/>
      <c r="O36" s="119"/>
      <c r="P36" s="119"/>
      <c r="Q36" s="117">
        <v>1125.0</v>
      </c>
      <c r="R36" s="119"/>
      <c r="S36" s="119"/>
      <c r="T36" s="119"/>
      <c r="U36" s="117">
        <v>1125.0</v>
      </c>
      <c r="V36" s="119"/>
      <c r="W36" s="119"/>
      <c r="X36" s="119"/>
      <c r="Y36" s="119"/>
      <c r="Z36" s="119"/>
      <c r="AA36" s="120">
        <f t="shared" si="1"/>
        <v>0</v>
      </c>
      <c r="AB36" s="123"/>
      <c r="AC36" s="122"/>
      <c r="AD36" s="122"/>
    </row>
    <row r="37">
      <c r="A37" s="117">
        <v>44474.0</v>
      </c>
      <c r="B37" s="117" t="s">
        <v>88</v>
      </c>
      <c r="C37" s="118"/>
      <c r="D37" s="119"/>
      <c r="E37" s="119"/>
      <c r="F37" s="119"/>
      <c r="G37" s="119"/>
      <c r="H37" s="119"/>
      <c r="I37" s="119"/>
      <c r="J37" s="119"/>
      <c r="K37" s="119"/>
      <c r="M37" s="117" t="s">
        <v>72</v>
      </c>
      <c r="N37" s="119"/>
      <c r="O37" s="119"/>
      <c r="P37" s="119"/>
      <c r="Q37" s="117">
        <v>1272.0</v>
      </c>
      <c r="R37" s="119"/>
      <c r="S37" s="119"/>
      <c r="T37" s="119"/>
      <c r="U37" s="117">
        <v>1272.0</v>
      </c>
      <c r="V37" s="119"/>
      <c r="W37" s="119"/>
      <c r="X37" s="119"/>
      <c r="Y37" s="119"/>
      <c r="Z37" s="119"/>
      <c r="AA37" s="120">
        <f t="shared" si="1"/>
        <v>0</v>
      </c>
      <c r="AB37" s="122"/>
      <c r="AC37" s="122"/>
      <c r="AD37" s="122"/>
    </row>
    <row r="38">
      <c r="A38" s="117">
        <v>44488.0</v>
      </c>
      <c r="B38" s="117" t="s">
        <v>89</v>
      </c>
      <c r="C38" s="118"/>
      <c r="D38" s="119"/>
      <c r="E38" s="119"/>
      <c r="F38" s="119"/>
      <c r="G38" s="119"/>
      <c r="H38" s="119"/>
      <c r="I38" s="119"/>
      <c r="J38" s="119"/>
      <c r="K38" s="119"/>
      <c r="M38" s="117" t="s">
        <v>72</v>
      </c>
      <c r="N38" s="117">
        <v>2380.0</v>
      </c>
      <c r="O38" s="119"/>
      <c r="P38" s="119"/>
      <c r="Q38" s="118"/>
      <c r="R38" s="119"/>
      <c r="S38" s="119"/>
      <c r="T38" s="119"/>
      <c r="U38" s="117">
        <v>2380.0</v>
      </c>
      <c r="V38" s="119"/>
      <c r="W38" s="119"/>
      <c r="X38" s="119"/>
      <c r="Y38" s="119"/>
      <c r="Z38" s="119"/>
      <c r="AA38" s="120">
        <f t="shared" si="1"/>
        <v>0</v>
      </c>
      <c r="AB38" s="121"/>
      <c r="AC38" s="122"/>
      <c r="AD38" s="122"/>
    </row>
    <row r="39">
      <c r="A39" s="117">
        <v>44488.0</v>
      </c>
      <c r="B39" s="117" t="s">
        <v>90</v>
      </c>
      <c r="C39" s="118"/>
      <c r="D39" s="119"/>
      <c r="E39" s="119"/>
      <c r="F39" s="119"/>
      <c r="G39" s="119"/>
      <c r="H39" s="119"/>
      <c r="I39" s="119"/>
      <c r="J39" s="119"/>
      <c r="K39" s="119"/>
      <c r="M39" s="117" t="s">
        <v>79</v>
      </c>
      <c r="N39" s="119"/>
      <c r="O39" s="119"/>
      <c r="P39" s="119"/>
      <c r="Q39" s="117">
        <v>289.0</v>
      </c>
      <c r="R39" s="119"/>
      <c r="S39" s="119"/>
      <c r="T39" s="119"/>
      <c r="U39" s="117">
        <v>289.0</v>
      </c>
      <c r="V39" s="119"/>
      <c r="W39" s="119"/>
      <c r="X39" s="119"/>
      <c r="Y39" s="119"/>
      <c r="Z39" s="119"/>
      <c r="AA39" s="120">
        <f t="shared" si="1"/>
        <v>0</v>
      </c>
      <c r="AB39" s="121"/>
      <c r="AC39" s="122"/>
      <c r="AD39" s="122"/>
    </row>
    <row r="40">
      <c r="A40" s="117">
        <v>44489.0</v>
      </c>
      <c r="B40" s="117" t="s">
        <v>91</v>
      </c>
      <c r="C40" s="118"/>
      <c r="D40" s="119"/>
      <c r="E40" s="119"/>
      <c r="F40" s="119"/>
      <c r="G40" s="119"/>
      <c r="H40" s="119"/>
      <c r="I40" s="119"/>
      <c r="J40" s="119"/>
      <c r="K40" s="119"/>
      <c r="M40" s="117" t="s">
        <v>72</v>
      </c>
      <c r="N40" s="119"/>
      <c r="O40" s="119"/>
      <c r="P40" s="119"/>
      <c r="Q40" s="117">
        <v>4820.0</v>
      </c>
      <c r="R40" s="119"/>
      <c r="S40" s="119"/>
      <c r="T40" s="119"/>
      <c r="U40" s="117">
        <v>4820.0</v>
      </c>
      <c r="V40" s="119"/>
      <c r="W40" s="119"/>
      <c r="X40" s="119"/>
      <c r="Y40" s="119"/>
      <c r="Z40" s="119"/>
      <c r="AA40" s="120">
        <f t="shared" si="1"/>
        <v>0</v>
      </c>
      <c r="AB40" s="122"/>
      <c r="AC40" s="122"/>
      <c r="AD40" s="122"/>
    </row>
    <row r="41">
      <c r="A41" s="117">
        <v>44486.0</v>
      </c>
      <c r="B41" s="117" t="s">
        <v>92</v>
      </c>
      <c r="C41" s="118"/>
      <c r="D41" s="119"/>
      <c r="E41" s="119"/>
      <c r="F41" s="119"/>
      <c r="G41" s="119"/>
      <c r="H41" s="119"/>
      <c r="I41" s="119"/>
      <c r="J41" s="119"/>
      <c r="K41" s="119"/>
      <c r="M41" s="117" t="s">
        <v>72</v>
      </c>
      <c r="N41" s="119"/>
      <c r="O41" s="119"/>
      <c r="P41" s="117">
        <v>688.0</v>
      </c>
      <c r="Q41" s="118"/>
      <c r="R41" s="119"/>
      <c r="S41" s="119"/>
      <c r="T41" s="119"/>
      <c r="U41" s="117">
        <v>688.0</v>
      </c>
      <c r="V41" s="119"/>
      <c r="W41" s="119"/>
      <c r="X41" s="119"/>
      <c r="Y41" s="119"/>
      <c r="Z41" s="119"/>
      <c r="AA41" s="120">
        <f t="shared" si="1"/>
        <v>0</v>
      </c>
      <c r="AB41" s="121"/>
      <c r="AC41" s="111"/>
      <c r="AD41" s="111"/>
    </row>
    <row r="42">
      <c r="A42" s="117">
        <v>44494.4668981481</v>
      </c>
      <c r="B42" s="117" t="s">
        <v>93</v>
      </c>
      <c r="C42" s="118"/>
      <c r="D42" s="119"/>
      <c r="E42" s="119"/>
      <c r="F42" s="119"/>
      <c r="G42" s="119"/>
      <c r="H42" s="119"/>
      <c r="I42" s="119"/>
      <c r="J42" s="117">
        <v>-160.0</v>
      </c>
      <c r="K42" s="117">
        <v>160.0</v>
      </c>
      <c r="L42" s="119"/>
      <c r="M42" s="118"/>
      <c r="N42" s="119"/>
      <c r="O42" s="119"/>
      <c r="P42" s="119"/>
      <c r="Q42" s="118"/>
      <c r="R42" s="119"/>
      <c r="S42" s="119"/>
      <c r="T42" s="119"/>
      <c r="U42" s="119"/>
      <c r="V42" s="119"/>
      <c r="W42" s="119"/>
      <c r="X42" s="119"/>
      <c r="Y42" s="119"/>
      <c r="Z42" s="119"/>
      <c r="AA42" s="120">
        <f t="shared" si="1"/>
        <v>0</v>
      </c>
      <c r="AB42" s="121"/>
      <c r="AC42" s="111"/>
      <c r="AD42" s="111"/>
    </row>
    <row r="43">
      <c r="A43" s="117">
        <v>44487.3964467592</v>
      </c>
      <c r="B43" s="117" t="s">
        <v>93</v>
      </c>
      <c r="C43" s="118"/>
      <c r="D43" s="119"/>
      <c r="E43" s="119"/>
      <c r="F43" s="119"/>
      <c r="G43" s="119"/>
      <c r="H43" s="119"/>
      <c r="I43" s="119"/>
      <c r="J43" s="117">
        <v>-160.0</v>
      </c>
      <c r="K43" s="117">
        <v>160.0</v>
      </c>
      <c r="L43" s="119"/>
      <c r="M43" s="118"/>
      <c r="N43" s="119"/>
      <c r="O43" s="119"/>
      <c r="P43" s="119"/>
      <c r="Q43" s="118"/>
      <c r="R43" s="119"/>
      <c r="S43" s="119"/>
      <c r="T43" s="119"/>
      <c r="U43" s="119"/>
      <c r="V43" s="119"/>
      <c r="W43" s="119"/>
      <c r="X43" s="119"/>
      <c r="Y43" s="119"/>
      <c r="Z43" s="119"/>
      <c r="AA43" s="120">
        <f t="shared" si="1"/>
        <v>0</v>
      </c>
      <c r="AB43" s="121"/>
      <c r="AC43" s="122"/>
      <c r="AD43" s="122"/>
    </row>
    <row r="44">
      <c r="A44" s="117">
        <v>44480.3971296296</v>
      </c>
      <c r="B44" s="117" t="s">
        <v>93</v>
      </c>
      <c r="C44" s="118"/>
      <c r="D44" s="119"/>
      <c r="E44" s="119"/>
      <c r="F44" s="119"/>
      <c r="G44" s="119"/>
      <c r="H44" s="119"/>
      <c r="I44" s="119"/>
      <c r="J44" s="117">
        <v>-160.0</v>
      </c>
      <c r="K44" s="117">
        <v>160.0</v>
      </c>
      <c r="L44" s="119"/>
      <c r="M44" s="118"/>
      <c r="N44" s="119"/>
      <c r="O44" s="119"/>
      <c r="P44" s="119"/>
      <c r="Q44" s="118"/>
      <c r="R44" s="119"/>
      <c r="S44" s="119"/>
      <c r="T44" s="119"/>
      <c r="U44" s="119"/>
      <c r="V44" s="119"/>
      <c r="W44" s="119"/>
      <c r="X44" s="119"/>
      <c r="Y44" s="119"/>
      <c r="Z44" s="119"/>
      <c r="AA44" s="120">
        <f t="shared" si="1"/>
        <v>0</v>
      </c>
      <c r="AB44" s="111"/>
      <c r="AC44" s="111"/>
      <c r="AD44" s="111"/>
    </row>
    <row r="45">
      <c r="A45" s="117">
        <v>44477.4336111111</v>
      </c>
      <c r="B45" s="117" t="s">
        <v>93</v>
      </c>
      <c r="C45" s="118"/>
      <c r="D45" s="119"/>
      <c r="E45" s="119"/>
      <c r="F45" s="119"/>
      <c r="G45" s="119"/>
      <c r="H45" s="119"/>
      <c r="I45" s="119"/>
      <c r="J45" s="117">
        <v>-160.0</v>
      </c>
      <c r="K45" s="117">
        <v>160.0</v>
      </c>
      <c r="L45" s="119"/>
      <c r="M45" s="118"/>
      <c r="N45" s="119"/>
      <c r="O45" s="119"/>
      <c r="P45" s="119"/>
      <c r="Q45" s="118"/>
      <c r="R45" s="119"/>
      <c r="S45" s="119"/>
      <c r="T45" s="119"/>
      <c r="U45" s="119"/>
      <c r="V45" s="119"/>
      <c r="W45" s="119"/>
      <c r="X45" s="119"/>
      <c r="Y45" s="119"/>
      <c r="Z45" s="119"/>
      <c r="AA45" s="120">
        <f t="shared" si="1"/>
        <v>0</v>
      </c>
      <c r="AB45" s="121"/>
      <c r="AC45" s="122"/>
      <c r="AD45" s="122"/>
    </row>
    <row r="46">
      <c r="A46" s="117">
        <v>44500.1002777777</v>
      </c>
      <c r="B46" s="117" t="s">
        <v>94</v>
      </c>
      <c r="C46" s="118"/>
      <c r="D46" s="119"/>
      <c r="E46" s="119"/>
      <c r="F46" s="119"/>
      <c r="G46" s="119"/>
      <c r="H46" s="119"/>
      <c r="I46" s="119"/>
      <c r="J46" s="117">
        <v>171.68</v>
      </c>
      <c r="K46" s="119"/>
      <c r="L46" s="119"/>
      <c r="M46" s="118"/>
      <c r="N46" s="119"/>
      <c r="O46" s="119"/>
      <c r="P46" s="119"/>
      <c r="Q46" s="118"/>
      <c r="R46" s="119"/>
      <c r="S46" s="119"/>
      <c r="T46" s="119"/>
      <c r="U46" s="119"/>
      <c r="V46" s="119"/>
      <c r="W46" s="119"/>
      <c r="X46" s="119"/>
      <c r="Y46" s="119"/>
      <c r="Z46" s="117">
        <v>171.68</v>
      </c>
      <c r="AA46" s="120">
        <f t="shared" si="1"/>
        <v>0</v>
      </c>
      <c r="AB46" s="122"/>
      <c r="AC46" s="122"/>
      <c r="AD46" s="122"/>
    </row>
    <row r="47">
      <c r="A47" s="117">
        <v>44488.6564699074</v>
      </c>
      <c r="B47" s="117" t="s">
        <v>95</v>
      </c>
      <c r="C47" s="118"/>
      <c r="D47" s="119"/>
      <c r="E47" s="119"/>
      <c r="F47" s="119"/>
      <c r="G47" s="119"/>
      <c r="H47" s="119"/>
      <c r="I47" s="119"/>
      <c r="J47" s="119"/>
      <c r="K47" s="119"/>
      <c r="L47" s="119"/>
      <c r="M47" s="117" t="s">
        <v>72</v>
      </c>
      <c r="N47" s="117">
        <v>2850.88</v>
      </c>
      <c r="O47" s="119"/>
      <c r="P47" s="119"/>
      <c r="Q47" s="118"/>
      <c r="R47" s="119"/>
      <c r="S47" s="119"/>
      <c r="T47" s="117">
        <v>2850.88</v>
      </c>
      <c r="U47" s="119"/>
      <c r="V47" s="119"/>
      <c r="W47" s="119"/>
      <c r="X47" s="119"/>
      <c r="Y47" s="119"/>
      <c r="Z47" s="119"/>
      <c r="AA47" s="120">
        <f t="shared" si="1"/>
        <v>0</v>
      </c>
      <c r="AB47" s="121"/>
      <c r="AC47" s="122"/>
      <c r="AD47" s="122"/>
    </row>
    <row r="48">
      <c r="A48" s="117">
        <v>44484.9045717592</v>
      </c>
      <c r="B48" s="117" t="s">
        <v>96</v>
      </c>
      <c r="C48" s="118"/>
      <c r="D48" s="119"/>
      <c r="E48" s="119"/>
      <c r="F48" s="119"/>
      <c r="G48" s="119"/>
      <c r="H48" s="119"/>
      <c r="I48" s="119"/>
      <c r="J48" s="117">
        <v>-176.0</v>
      </c>
      <c r="K48" s="119"/>
      <c r="M48" s="117" t="s">
        <v>72</v>
      </c>
      <c r="N48" s="119"/>
      <c r="O48" s="119"/>
      <c r="P48" s="117">
        <v>176.0</v>
      </c>
      <c r="Q48" s="118"/>
      <c r="R48" s="119"/>
      <c r="S48" s="119"/>
      <c r="T48" s="119"/>
      <c r="U48" s="119"/>
      <c r="V48" s="119"/>
      <c r="W48" s="119"/>
      <c r="X48" s="119"/>
      <c r="Y48" s="119"/>
      <c r="Z48" s="119"/>
      <c r="AA48" s="120">
        <f t="shared" si="1"/>
        <v>0</v>
      </c>
      <c r="AB48" s="111"/>
      <c r="AC48" s="111"/>
      <c r="AD48" s="111"/>
    </row>
    <row r="49">
      <c r="A49" s="117">
        <v>44483.9385416666</v>
      </c>
      <c r="B49" s="117" t="s">
        <v>97</v>
      </c>
      <c r="C49" s="118"/>
      <c r="D49" s="119"/>
      <c r="E49" s="119"/>
      <c r="F49" s="119"/>
      <c r="G49" s="119"/>
      <c r="H49" s="119"/>
      <c r="I49" s="119"/>
      <c r="J49" s="117">
        <v>-12810.56</v>
      </c>
      <c r="K49" s="119"/>
      <c r="M49" s="117" t="s">
        <v>72</v>
      </c>
      <c r="N49" s="119"/>
      <c r="O49" s="119"/>
      <c r="P49" s="119"/>
      <c r="Q49" s="117">
        <v>12810.56</v>
      </c>
      <c r="R49" s="119"/>
      <c r="S49" s="119"/>
      <c r="T49" s="119"/>
      <c r="U49" s="119"/>
      <c r="V49" s="119"/>
      <c r="W49" s="119"/>
      <c r="X49" s="119"/>
      <c r="Y49" s="119"/>
      <c r="Z49" s="119"/>
      <c r="AA49" s="120">
        <f t="shared" si="1"/>
        <v>0</v>
      </c>
      <c r="AB49" s="121"/>
      <c r="AC49" s="122"/>
      <c r="AD49" s="122"/>
    </row>
    <row r="50">
      <c r="A50" s="117">
        <v>31.0</v>
      </c>
      <c r="B50" s="117" t="s">
        <v>98</v>
      </c>
      <c r="C50" s="118"/>
      <c r="D50" s="117">
        <v>-1030.0</v>
      </c>
      <c r="E50" s="119"/>
      <c r="F50" s="119"/>
      <c r="G50" s="119"/>
      <c r="H50" s="119"/>
      <c r="I50" s="119"/>
      <c r="J50" s="119"/>
      <c r="K50" s="119"/>
      <c r="L50" s="119"/>
      <c r="M50" s="117" t="s">
        <v>72</v>
      </c>
      <c r="N50" s="117">
        <v>1030.0</v>
      </c>
      <c r="O50" s="119"/>
      <c r="P50" s="119"/>
      <c r="Q50" s="118"/>
      <c r="R50" s="119"/>
      <c r="S50" s="119"/>
      <c r="T50" s="119"/>
      <c r="U50" s="119"/>
      <c r="V50" s="119"/>
      <c r="W50" s="119"/>
      <c r="X50" s="119"/>
      <c r="Y50" s="119"/>
      <c r="Z50" s="119"/>
      <c r="AA50" s="120">
        <f t="shared" si="1"/>
        <v>0</v>
      </c>
      <c r="AB50" s="121"/>
      <c r="AC50" s="111"/>
      <c r="AD50" s="111"/>
    </row>
    <row r="51">
      <c r="A51" s="117">
        <v>29.0</v>
      </c>
      <c r="B51" s="117" t="s">
        <v>98</v>
      </c>
      <c r="C51" s="118"/>
      <c r="D51" s="117">
        <v>-102.0</v>
      </c>
      <c r="E51" s="119"/>
      <c r="F51" s="119"/>
      <c r="G51" s="119"/>
      <c r="H51" s="119"/>
      <c r="I51" s="119"/>
      <c r="J51" s="119"/>
      <c r="K51" s="119"/>
      <c r="L51" s="119"/>
      <c r="M51" s="117" t="s">
        <v>72</v>
      </c>
      <c r="N51" s="117">
        <v>102.0</v>
      </c>
      <c r="O51" s="119"/>
      <c r="P51" s="119"/>
      <c r="Q51" s="118"/>
      <c r="R51" s="119"/>
      <c r="S51" s="119"/>
      <c r="T51" s="119"/>
      <c r="U51" s="119"/>
      <c r="V51" s="119"/>
      <c r="W51" s="119"/>
      <c r="X51" s="119"/>
      <c r="Y51" s="119"/>
      <c r="Z51" s="119"/>
      <c r="AA51" s="120">
        <f t="shared" si="1"/>
        <v>0</v>
      </c>
      <c r="AB51" s="121"/>
      <c r="AC51" s="111"/>
      <c r="AD51" s="111"/>
    </row>
    <row r="52">
      <c r="A52" s="117">
        <v>29.0</v>
      </c>
      <c r="B52" s="117" t="s">
        <v>98</v>
      </c>
      <c r="C52" s="118"/>
      <c r="D52" s="117">
        <v>-702.0</v>
      </c>
      <c r="E52" s="119"/>
      <c r="F52" s="119"/>
      <c r="G52" s="119"/>
      <c r="H52" s="119"/>
      <c r="I52" s="119"/>
      <c r="J52" s="119"/>
      <c r="K52" s="119"/>
      <c r="L52" s="119"/>
      <c r="M52" s="117" t="s">
        <v>72</v>
      </c>
      <c r="N52" s="117">
        <v>702.0</v>
      </c>
      <c r="O52" s="119"/>
      <c r="P52" s="119"/>
      <c r="Q52" s="118"/>
      <c r="R52" s="119"/>
      <c r="S52" s="119"/>
      <c r="T52" s="119"/>
      <c r="U52" s="119"/>
      <c r="V52" s="119"/>
      <c r="W52" s="119"/>
      <c r="X52" s="119"/>
      <c r="Y52" s="119"/>
      <c r="Z52" s="119"/>
      <c r="AA52" s="120">
        <f t="shared" si="1"/>
        <v>0</v>
      </c>
      <c r="AB52" s="111"/>
      <c r="AC52" s="111"/>
      <c r="AD52" s="111"/>
    </row>
    <row r="53">
      <c r="A53" s="117">
        <v>29.0</v>
      </c>
      <c r="B53" s="117" t="s">
        <v>98</v>
      </c>
      <c r="C53" s="118"/>
      <c r="D53" s="117">
        <v>-815.0</v>
      </c>
      <c r="E53" s="119"/>
      <c r="F53" s="119"/>
      <c r="G53" s="119"/>
      <c r="H53" s="119"/>
      <c r="I53" s="119"/>
      <c r="J53" s="119"/>
      <c r="K53" s="119"/>
      <c r="L53" s="119"/>
      <c r="M53" s="117" t="s">
        <v>72</v>
      </c>
      <c r="N53" s="117">
        <v>815.0</v>
      </c>
      <c r="O53" s="119"/>
      <c r="P53" s="119"/>
      <c r="Q53" s="118"/>
      <c r="R53" s="119"/>
      <c r="S53" s="119"/>
      <c r="T53" s="119"/>
      <c r="U53" s="119"/>
      <c r="V53" s="119"/>
      <c r="W53" s="119"/>
      <c r="X53" s="119"/>
      <c r="Y53" s="119"/>
      <c r="Z53" s="119"/>
      <c r="AA53" s="120">
        <f t="shared" si="1"/>
        <v>0</v>
      </c>
      <c r="AB53" s="122"/>
      <c r="AC53" s="122"/>
      <c r="AD53" s="122"/>
    </row>
    <row r="54">
      <c r="A54" s="117">
        <v>22.0</v>
      </c>
      <c r="B54" s="117" t="s">
        <v>98</v>
      </c>
      <c r="C54" s="118"/>
      <c r="D54" s="117">
        <v>-211.0</v>
      </c>
      <c r="E54" s="119"/>
      <c r="F54" s="119"/>
      <c r="G54" s="119"/>
      <c r="H54" s="119"/>
      <c r="I54" s="119"/>
      <c r="J54" s="119"/>
      <c r="K54" s="119"/>
      <c r="L54" s="119"/>
      <c r="M54" s="117" t="s">
        <v>72</v>
      </c>
      <c r="N54" s="117">
        <v>211.0</v>
      </c>
      <c r="O54" s="119"/>
      <c r="P54" s="119"/>
      <c r="Q54" s="118"/>
      <c r="R54" s="119"/>
      <c r="S54" s="119"/>
      <c r="T54" s="119"/>
      <c r="U54" s="119"/>
      <c r="V54" s="119"/>
      <c r="W54" s="119"/>
      <c r="X54" s="119"/>
      <c r="Y54" s="119"/>
      <c r="Z54" s="119"/>
      <c r="AA54" s="120">
        <f t="shared" si="1"/>
        <v>0</v>
      </c>
      <c r="AB54" s="121"/>
      <c r="AC54" s="122"/>
      <c r="AD54" s="122"/>
    </row>
    <row r="55">
      <c r="A55" s="117">
        <v>18.0</v>
      </c>
      <c r="B55" s="117" t="s">
        <v>98</v>
      </c>
      <c r="C55" s="118"/>
      <c r="D55" s="117">
        <v>-4159.0</v>
      </c>
      <c r="E55" s="119"/>
      <c r="F55" s="119"/>
      <c r="G55" s="119"/>
      <c r="H55" s="119"/>
      <c r="I55" s="119"/>
      <c r="J55" s="119"/>
      <c r="K55" s="119"/>
      <c r="L55" s="119"/>
      <c r="M55" s="117" t="s">
        <v>72</v>
      </c>
      <c r="N55" s="117">
        <v>4159.0</v>
      </c>
      <c r="O55" s="119"/>
      <c r="P55" s="119"/>
      <c r="Q55" s="118"/>
      <c r="R55" s="119"/>
      <c r="S55" s="119"/>
      <c r="T55" s="119"/>
      <c r="U55" s="119"/>
      <c r="V55" s="119"/>
      <c r="W55" s="119"/>
      <c r="X55" s="119"/>
      <c r="Y55" s="119"/>
      <c r="Z55" s="119"/>
      <c r="AA55" s="120">
        <f t="shared" si="1"/>
        <v>0</v>
      </c>
      <c r="AB55" s="122"/>
      <c r="AC55" s="122"/>
      <c r="AD55" s="122"/>
    </row>
    <row r="56">
      <c r="A56" s="117">
        <v>6.0</v>
      </c>
      <c r="B56" s="117" t="s">
        <v>98</v>
      </c>
      <c r="C56" s="118"/>
      <c r="D56" s="117">
        <v>-267.0</v>
      </c>
      <c r="E56" s="119"/>
      <c r="F56" s="119"/>
      <c r="G56" s="119"/>
      <c r="H56" s="119"/>
      <c r="I56" s="119"/>
      <c r="J56" s="119"/>
      <c r="K56" s="119"/>
      <c r="L56" s="119"/>
      <c r="M56" s="117" t="s">
        <v>72</v>
      </c>
      <c r="N56" s="117">
        <v>267.0</v>
      </c>
      <c r="O56" s="119"/>
      <c r="P56" s="119"/>
      <c r="Q56" s="118"/>
      <c r="R56" s="119"/>
      <c r="S56" s="119"/>
      <c r="T56" s="119"/>
      <c r="U56" s="119"/>
      <c r="V56" s="119"/>
      <c r="W56" s="119"/>
      <c r="X56" s="119"/>
      <c r="Y56" s="119"/>
      <c r="Z56" s="119"/>
      <c r="AA56" s="120">
        <f t="shared" si="1"/>
        <v>0</v>
      </c>
      <c r="AB56" s="122"/>
      <c r="AC56" s="122"/>
      <c r="AD56" s="122"/>
    </row>
    <row r="57">
      <c r="A57" s="117">
        <v>19.0</v>
      </c>
      <c r="B57" s="117" t="s">
        <v>98</v>
      </c>
      <c r="C57" s="118"/>
      <c r="D57" s="117">
        <v>-300.0</v>
      </c>
      <c r="E57" s="119"/>
      <c r="F57" s="119"/>
      <c r="G57" s="119"/>
      <c r="H57" s="119"/>
      <c r="I57" s="119"/>
      <c r="J57" s="119"/>
      <c r="K57" s="119"/>
      <c r="L57" s="119"/>
      <c r="M57" s="117" t="s">
        <v>72</v>
      </c>
      <c r="N57" s="117">
        <v>300.0</v>
      </c>
      <c r="O57" s="119"/>
      <c r="P57" s="119"/>
      <c r="Q57" s="118"/>
      <c r="R57" s="119"/>
      <c r="S57" s="119"/>
      <c r="T57" s="119"/>
      <c r="U57" s="119"/>
      <c r="V57" s="119"/>
      <c r="W57" s="119"/>
      <c r="X57" s="119"/>
      <c r="Y57" s="119"/>
      <c r="Z57" s="119"/>
      <c r="AA57" s="120">
        <f t="shared" si="1"/>
        <v>0</v>
      </c>
      <c r="AB57" s="122"/>
      <c r="AC57" s="122"/>
      <c r="AD57" s="122"/>
    </row>
    <row r="58">
      <c r="A58" s="117">
        <v>26.0</v>
      </c>
      <c r="B58" s="117" t="s">
        <v>98</v>
      </c>
      <c r="C58" s="118"/>
      <c r="D58" s="117">
        <v>-1320.0</v>
      </c>
      <c r="E58" s="119"/>
      <c r="F58" s="119"/>
      <c r="G58" s="119"/>
      <c r="H58" s="119"/>
      <c r="I58" s="119"/>
      <c r="J58" s="119"/>
      <c r="K58" s="119"/>
      <c r="L58" s="119"/>
      <c r="M58" s="117" t="s">
        <v>81</v>
      </c>
      <c r="N58" s="117">
        <v>1320.0</v>
      </c>
      <c r="O58" s="119"/>
      <c r="P58" s="119"/>
      <c r="Q58" s="118"/>
      <c r="R58" s="119"/>
      <c r="S58" s="119"/>
      <c r="T58" s="119"/>
      <c r="U58" s="119"/>
      <c r="V58" s="119"/>
      <c r="W58" s="119"/>
      <c r="X58" s="119"/>
      <c r="Y58" s="119"/>
      <c r="Z58" s="119"/>
      <c r="AA58" s="120">
        <f t="shared" si="1"/>
        <v>0</v>
      </c>
      <c r="AB58" s="122"/>
      <c r="AC58" s="122"/>
      <c r="AD58" s="122"/>
    </row>
    <row r="59">
      <c r="A59" s="117">
        <v>31.0</v>
      </c>
      <c r="B59" s="117" t="s">
        <v>98</v>
      </c>
      <c r="C59" s="118"/>
      <c r="D59" s="117">
        <v>-1211.0</v>
      </c>
      <c r="E59" s="119"/>
      <c r="F59" s="119"/>
      <c r="G59" s="119"/>
      <c r="H59" s="119"/>
      <c r="I59" s="119"/>
      <c r="J59" s="119"/>
      <c r="K59" s="119"/>
      <c r="L59" s="119"/>
      <c r="M59" s="117" t="s">
        <v>72</v>
      </c>
      <c r="N59" s="117">
        <v>1211.0</v>
      </c>
      <c r="O59" s="119"/>
      <c r="P59" s="119"/>
      <c r="Q59" s="118"/>
      <c r="R59" s="119"/>
      <c r="S59" s="119"/>
      <c r="T59" s="119"/>
      <c r="U59" s="119"/>
      <c r="V59" s="119"/>
      <c r="W59" s="119"/>
      <c r="X59" s="119"/>
      <c r="Y59" s="119"/>
      <c r="Z59" s="119"/>
      <c r="AA59" s="120">
        <f t="shared" si="1"/>
        <v>0</v>
      </c>
      <c r="AB59" s="111"/>
      <c r="AC59" s="111"/>
      <c r="AD59" s="111"/>
    </row>
    <row r="60">
      <c r="A60" s="117">
        <v>30.0</v>
      </c>
      <c r="B60" s="117" t="s">
        <v>99</v>
      </c>
      <c r="C60" s="118"/>
      <c r="D60" s="117">
        <v>-880.0</v>
      </c>
      <c r="E60" s="119"/>
      <c r="F60" s="119"/>
      <c r="G60" s="119"/>
      <c r="H60" s="119"/>
      <c r="I60" s="119"/>
      <c r="J60" s="119"/>
      <c r="K60" s="119"/>
      <c r="L60" s="119"/>
      <c r="M60" s="117" t="s">
        <v>72</v>
      </c>
      <c r="N60" s="119"/>
      <c r="O60" s="119"/>
      <c r="P60" s="119"/>
      <c r="Q60" s="117">
        <v>880.0</v>
      </c>
      <c r="R60" s="119"/>
      <c r="S60" s="119"/>
      <c r="T60" s="119"/>
      <c r="U60" s="119"/>
      <c r="V60" s="119"/>
      <c r="W60" s="119"/>
      <c r="X60" s="119"/>
      <c r="Y60" s="119"/>
      <c r="Z60" s="119"/>
      <c r="AA60" s="120">
        <f t="shared" si="1"/>
        <v>0</v>
      </c>
      <c r="AB60" s="122"/>
      <c r="AC60" s="122"/>
      <c r="AD60" s="122"/>
    </row>
    <row r="61">
      <c r="A61" s="117">
        <v>18.0</v>
      </c>
      <c r="B61" s="117" t="s">
        <v>99</v>
      </c>
      <c r="C61" s="118"/>
      <c r="D61" s="117">
        <v>-110.0</v>
      </c>
      <c r="E61" s="119"/>
      <c r="F61" s="119"/>
      <c r="G61" s="119"/>
      <c r="H61" s="119"/>
      <c r="I61" s="119"/>
      <c r="J61" s="119"/>
      <c r="K61" s="119"/>
      <c r="L61" s="119"/>
      <c r="M61" s="117" t="s">
        <v>72</v>
      </c>
      <c r="N61" s="119"/>
      <c r="O61" s="119"/>
      <c r="P61" s="119"/>
      <c r="Q61" s="117">
        <v>110.0</v>
      </c>
      <c r="R61" s="119"/>
      <c r="S61" s="119"/>
      <c r="T61" s="119"/>
      <c r="U61" s="119"/>
      <c r="V61" s="119"/>
      <c r="W61" s="119"/>
      <c r="X61" s="119"/>
      <c r="Y61" s="119"/>
      <c r="Z61" s="119"/>
      <c r="AA61" s="120">
        <f t="shared" si="1"/>
        <v>0</v>
      </c>
      <c r="AB61" s="122"/>
      <c r="AC61" s="122"/>
      <c r="AD61" s="122"/>
    </row>
    <row r="62">
      <c r="A62" s="117">
        <v>30.0</v>
      </c>
      <c r="B62" s="117" t="s">
        <v>100</v>
      </c>
      <c r="C62" s="118"/>
      <c r="D62" s="117">
        <v>-1431.0</v>
      </c>
      <c r="E62" s="119"/>
      <c r="F62" s="119"/>
      <c r="G62" s="119"/>
      <c r="H62" s="119"/>
      <c r="I62" s="119"/>
      <c r="J62" s="119"/>
      <c r="K62" s="119"/>
      <c r="L62" s="119"/>
      <c r="M62" s="117" t="s">
        <v>72</v>
      </c>
      <c r="N62" s="119"/>
      <c r="O62" s="119"/>
      <c r="P62" s="119"/>
      <c r="Q62" s="117">
        <v>1431.0</v>
      </c>
      <c r="R62" s="119"/>
      <c r="S62" s="119"/>
      <c r="T62" s="119"/>
      <c r="U62" s="119"/>
      <c r="V62" s="119"/>
      <c r="W62" s="119"/>
      <c r="X62" s="119"/>
      <c r="Y62" s="119"/>
      <c r="Z62" s="119"/>
      <c r="AA62" s="120">
        <f t="shared" si="1"/>
        <v>0</v>
      </c>
      <c r="AB62" s="122"/>
      <c r="AC62" s="122"/>
      <c r="AD62" s="122"/>
    </row>
    <row r="63">
      <c r="A63" s="117">
        <v>1.0</v>
      </c>
      <c r="B63" s="117" t="s">
        <v>101</v>
      </c>
      <c r="C63" s="118"/>
      <c r="D63" s="117">
        <v>-444.0</v>
      </c>
      <c r="E63" s="119"/>
      <c r="F63" s="119"/>
      <c r="G63" s="119"/>
      <c r="H63" s="119"/>
      <c r="I63" s="119"/>
      <c r="J63" s="119"/>
      <c r="K63" s="119"/>
      <c r="L63" s="119"/>
      <c r="M63" s="117" t="s">
        <v>72</v>
      </c>
      <c r="N63" s="119"/>
      <c r="O63" s="119"/>
      <c r="P63" s="119"/>
      <c r="Q63" s="117">
        <v>444.0</v>
      </c>
      <c r="R63" s="119"/>
      <c r="S63" s="119"/>
      <c r="T63" s="119"/>
      <c r="U63" s="119"/>
      <c r="V63" s="119"/>
      <c r="W63" s="119"/>
      <c r="X63" s="119"/>
      <c r="Y63" s="119"/>
      <c r="Z63" s="119"/>
      <c r="AA63" s="120">
        <f t="shared" si="1"/>
        <v>0</v>
      </c>
      <c r="AB63" s="122"/>
      <c r="AC63" s="122"/>
      <c r="AD63" s="122"/>
    </row>
    <row r="64">
      <c r="A64" s="117">
        <v>1.0</v>
      </c>
      <c r="B64" s="117" t="s">
        <v>102</v>
      </c>
      <c r="C64" s="118"/>
      <c r="D64" s="117">
        <v>-850.0</v>
      </c>
      <c r="E64" s="119"/>
      <c r="F64" s="119"/>
      <c r="G64" s="119"/>
      <c r="H64" s="119"/>
      <c r="I64" s="119"/>
      <c r="J64" s="119"/>
      <c r="K64" s="119"/>
      <c r="L64" s="119"/>
      <c r="M64" s="117" t="s">
        <v>72</v>
      </c>
      <c r="N64" s="119"/>
      <c r="O64" s="119"/>
      <c r="P64" s="119"/>
      <c r="Q64" s="117">
        <v>850.0</v>
      </c>
      <c r="R64" s="119"/>
      <c r="S64" s="119"/>
      <c r="T64" s="119"/>
      <c r="U64" s="119"/>
      <c r="V64" s="119"/>
      <c r="W64" s="119"/>
      <c r="X64" s="119"/>
      <c r="Y64" s="119"/>
      <c r="Z64" s="119"/>
      <c r="AA64" s="120">
        <f t="shared" si="1"/>
        <v>0</v>
      </c>
      <c r="AB64" s="122"/>
      <c r="AC64" s="122"/>
      <c r="AD64" s="122"/>
    </row>
    <row r="65">
      <c r="A65" s="117">
        <v>2.0</v>
      </c>
      <c r="B65" s="117" t="s">
        <v>100</v>
      </c>
      <c r="C65" s="118"/>
      <c r="D65" s="117">
        <v>-3465.0</v>
      </c>
      <c r="E65" s="119"/>
      <c r="F65" s="119"/>
      <c r="G65" s="119"/>
      <c r="H65" s="119"/>
      <c r="I65" s="119"/>
      <c r="J65" s="119"/>
      <c r="K65" s="119"/>
      <c r="L65" s="119"/>
      <c r="M65" s="117" t="s">
        <v>72</v>
      </c>
      <c r="N65" s="119"/>
      <c r="O65" s="119"/>
      <c r="P65" s="119"/>
      <c r="Q65" s="117">
        <v>3465.0</v>
      </c>
      <c r="R65" s="119"/>
      <c r="S65" s="119"/>
      <c r="T65" s="119"/>
      <c r="U65" s="119"/>
      <c r="V65" s="119"/>
      <c r="W65" s="119"/>
      <c r="X65" s="119"/>
      <c r="Y65" s="119"/>
      <c r="Z65" s="119"/>
      <c r="AA65" s="120">
        <f t="shared" si="1"/>
        <v>0</v>
      </c>
      <c r="AB65" s="122"/>
      <c r="AC65" s="122"/>
      <c r="AD65" s="122"/>
    </row>
    <row r="66">
      <c r="A66" s="117">
        <v>6.0</v>
      </c>
      <c r="B66" s="117" t="s">
        <v>99</v>
      </c>
      <c r="C66" s="118"/>
      <c r="D66" s="117">
        <v>-220.0</v>
      </c>
      <c r="E66" s="119"/>
      <c r="F66" s="119"/>
      <c r="G66" s="119"/>
      <c r="H66" s="119"/>
      <c r="I66" s="119"/>
      <c r="J66" s="119"/>
      <c r="K66" s="119"/>
      <c r="L66" s="119"/>
      <c r="M66" s="117" t="s">
        <v>72</v>
      </c>
      <c r="N66" s="119"/>
      <c r="O66" s="119"/>
      <c r="P66" s="119"/>
      <c r="Q66" s="117">
        <v>220.0</v>
      </c>
      <c r="R66" s="119"/>
      <c r="S66" s="119"/>
      <c r="T66" s="119"/>
      <c r="U66" s="119"/>
      <c r="V66" s="119"/>
      <c r="W66" s="119"/>
      <c r="X66" s="119"/>
      <c r="Y66" s="119"/>
      <c r="Z66" s="119"/>
      <c r="AA66" s="120">
        <f t="shared" si="1"/>
        <v>0</v>
      </c>
      <c r="AB66" s="122"/>
      <c r="AC66" s="122"/>
      <c r="AD66" s="122"/>
    </row>
    <row r="67">
      <c r="A67" s="117">
        <v>29.0</v>
      </c>
      <c r="B67" s="117" t="s">
        <v>64</v>
      </c>
      <c r="C67" s="118"/>
      <c r="D67" s="117">
        <v>-1000.0</v>
      </c>
      <c r="E67" s="119"/>
      <c r="F67" s="119"/>
      <c r="G67" s="119"/>
      <c r="H67" s="119"/>
      <c r="I67" s="119"/>
      <c r="J67" s="119"/>
      <c r="K67" s="119"/>
      <c r="M67" s="117" t="s">
        <v>72</v>
      </c>
      <c r="N67" s="119"/>
      <c r="O67" s="117">
        <v>1000.0</v>
      </c>
      <c r="P67" s="119"/>
      <c r="Q67" s="118"/>
      <c r="R67" s="119"/>
      <c r="S67" s="119"/>
      <c r="T67" s="119"/>
      <c r="U67" s="119"/>
      <c r="V67" s="119"/>
      <c r="W67" s="119"/>
      <c r="X67" s="119"/>
      <c r="Y67" s="119"/>
      <c r="Z67" s="119"/>
      <c r="AA67" s="120">
        <f t="shared" si="1"/>
        <v>0</v>
      </c>
      <c r="AB67" s="122"/>
      <c r="AC67" s="122"/>
      <c r="AD67" s="122"/>
    </row>
    <row r="68">
      <c r="A68" s="117">
        <v>16.0</v>
      </c>
      <c r="B68" s="117" t="s">
        <v>64</v>
      </c>
      <c r="C68" s="118"/>
      <c r="D68" s="117">
        <v>-1000.0</v>
      </c>
      <c r="E68" s="119"/>
      <c r="F68" s="119"/>
      <c r="G68" s="119"/>
      <c r="H68" s="119"/>
      <c r="I68" s="119"/>
      <c r="J68" s="119"/>
      <c r="K68" s="119"/>
      <c r="M68" s="117" t="s">
        <v>72</v>
      </c>
      <c r="N68" s="119"/>
      <c r="O68" s="117">
        <v>1000.0</v>
      </c>
      <c r="P68" s="119"/>
      <c r="Q68" s="118"/>
      <c r="R68" s="119"/>
      <c r="S68" s="119"/>
      <c r="T68" s="119"/>
      <c r="U68" s="119"/>
      <c r="V68" s="119"/>
      <c r="W68" s="119"/>
      <c r="X68" s="119"/>
      <c r="Y68" s="119"/>
      <c r="Z68" s="119"/>
      <c r="AA68" s="120">
        <f t="shared" si="1"/>
        <v>0</v>
      </c>
      <c r="AB68" s="122"/>
      <c r="AC68" s="122"/>
      <c r="AD68" s="122"/>
    </row>
    <row r="69">
      <c r="A69" s="117">
        <v>7.0</v>
      </c>
      <c r="B69" s="117" t="s">
        <v>64</v>
      </c>
      <c r="C69" s="118"/>
      <c r="D69" s="117">
        <v>-2000.0</v>
      </c>
      <c r="E69" s="119"/>
      <c r="F69" s="119"/>
      <c r="G69" s="119"/>
      <c r="H69" s="119"/>
      <c r="I69" s="119"/>
      <c r="J69" s="119"/>
      <c r="K69" s="119"/>
      <c r="M69" s="117" t="s">
        <v>81</v>
      </c>
      <c r="N69" s="119"/>
      <c r="O69" s="117">
        <v>2000.0</v>
      </c>
      <c r="P69" s="119"/>
      <c r="Q69" s="118"/>
      <c r="R69" s="119"/>
      <c r="S69" s="119"/>
      <c r="T69" s="119"/>
      <c r="U69" s="119"/>
      <c r="V69" s="119"/>
      <c r="W69" s="119"/>
      <c r="X69" s="119"/>
      <c r="Y69" s="119"/>
      <c r="Z69" s="119"/>
      <c r="AA69" s="120">
        <f t="shared" si="1"/>
        <v>0</v>
      </c>
      <c r="AB69" s="122"/>
      <c r="AC69" s="122"/>
      <c r="AD69" s="122"/>
    </row>
    <row r="70">
      <c r="A70" s="117">
        <v>2.0</v>
      </c>
      <c r="B70" s="117" t="s">
        <v>64</v>
      </c>
      <c r="C70" s="118"/>
      <c r="D70" s="117">
        <v>-2000.0</v>
      </c>
      <c r="E70" s="119"/>
      <c r="F70" s="119"/>
      <c r="G70" s="119"/>
      <c r="H70" s="119"/>
      <c r="I70" s="119"/>
      <c r="J70" s="119"/>
      <c r="K70" s="119"/>
      <c r="M70" s="117" t="s">
        <v>72</v>
      </c>
      <c r="N70" s="119"/>
      <c r="O70" s="117">
        <v>2000.0</v>
      </c>
      <c r="P70" s="119"/>
      <c r="Q70" s="118"/>
      <c r="R70" s="119"/>
      <c r="S70" s="119"/>
      <c r="T70" s="119"/>
      <c r="U70" s="119"/>
      <c r="V70" s="119"/>
      <c r="W70" s="119"/>
      <c r="X70" s="119"/>
      <c r="Y70" s="119"/>
      <c r="Z70" s="119"/>
      <c r="AA70" s="120">
        <f t="shared" si="1"/>
        <v>0</v>
      </c>
      <c r="AB70" s="122"/>
      <c r="AC70" s="122"/>
      <c r="AD70" s="122"/>
    </row>
    <row r="71">
      <c r="A71" s="117">
        <v>19.0</v>
      </c>
      <c r="B71" s="117" t="s">
        <v>103</v>
      </c>
      <c r="C71" s="117">
        <v>-30000.0</v>
      </c>
      <c r="D71" s="117">
        <v>30000.0</v>
      </c>
      <c r="E71" s="119"/>
      <c r="F71" s="119"/>
      <c r="G71" s="119"/>
      <c r="H71" s="119"/>
      <c r="I71" s="119"/>
      <c r="J71" s="119"/>
      <c r="K71" s="119"/>
      <c r="L71" s="119"/>
      <c r="M71" s="117" t="s">
        <v>81</v>
      </c>
      <c r="N71" s="119"/>
      <c r="O71" s="119"/>
      <c r="P71" s="119"/>
      <c r="Q71" s="118"/>
      <c r="R71" s="119"/>
      <c r="S71" s="119"/>
      <c r="T71" s="119"/>
      <c r="U71" s="119"/>
      <c r="V71" s="119"/>
      <c r="W71" s="119"/>
      <c r="X71" s="119"/>
      <c r="Y71" s="119"/>
      <c r="Z71" s="119"/>
      <c r="AA71" s="120">
        <f t="shared" si="1"/>
        <v>0</v>
      </c>
      <c r="AB71" s="122"/>
      <c r="AC71" s="122"/>
      <c r="AD71" s="122"/>
    </row>
    <row r="72">
      <c r="A72" s="124">
        <v>99.0</v>
      </c>
      <c r="B72" s="125" t="s">
        <v>104</v>
      </c>
      <c r="C72" s="122"/>
      <c r="D72" s="122"/>
      <c r="E72" s="122"/>
      <c r="F72" s="122"/>
      <c r="G72" s="122"/>
      <c r="H72" s="122"/>
      <c r="I72" s="122">
        <f>9000*16</f>
        <v>144000</v>
      </c>
      <c r="J72" s="122"/>
      <c r="K72" s="122"/>
      <c r="L72" s="122"/>
      <c r="M72" s="122"/>
      <c r="N72" s="122"/>
      <c r="O72" s="122"/>
      <c r="P72" s="122"/>
      <c r="Q72" s="122"/>
      <c r="R72" s="122"/>
      <c r="S72" s="122"/>
      <c r="T72" s="122"/>
      <c r="U72" s="122"/>
      <c r="V72" s="122"/>
      <c r="W72" s="122"/>
      <c r="X72" s="122"/>
      <c r="Y72" s="122"/>
      <c r="Z72" s="124">
        <v>144000.0</v>
      </c>
      <c r="AA72" s="120">
        <f t="shared" si="1"/>
        <v>0</v>
      </c>
      <c r="AB72" s="122"/>
      <c r="AC72" s="122"/>
      <c r="AD72" s="122"/>
    </row>
    <row r="73">
      <c r="A73" s="124">
        <v>99.0</v>
      </c>
      <c r="B73" s="125" t="s">
        <v>60</v>
      </c>
      <c r="C73" s="122"/>
      <c r="D73" s="122"/>
      <c r="E73" s="122"/>
      <c r="F73" s="122"/>
      <c r="G73" s="122"/>
      <c r="H73" s="124">
        <v>-1700.0</v>
      </c>
      <c r="I73" s="122"/>
      <c r="J73" s="122"/>
      <c r="K73" s="122"/>
      <c r="L73" s="122"/>
      <c r="M73" s="124" t="s">
        <v>81</v>
      </c>
      <c r="N73" s="122"/>
      <c r="O73" s="122"/>
      <c r="P73" s="122"/>
      <c r="Q73" s="124">
        <v>1700.0</v>
      </c>
      <c r="R73" s="122"/>
      <c r="S73" s="122"/>
      <c r="T73" s="122"/>
      <c r="U73" s="122"/>
      <c r="V73" s="122"/>
      <c r="W73" s="122"/>
      <c r="X73" s="122"/>
      <c r="Y73" s="122"/>
      <c r="Z73" s="122"/>
      <c r="AA73" s="120">
        <f t="shared" si="1"/>
        <v>0</v>
      </c>
      <c r="AB73" s="122"/>
      <c r="AC73" s="122"/>
      <c r="AD73" s="122"/>
    </row>
    <row r="74">
      <c r="A74" s="124">
        <v>1.0</v>
      </c>
      <c r="B74" s="125" t="s">
        <v>105</v>
      </c>
      <c r="C74" s="124"/>
      <c r="D74" s="124">
        <v>-5000.0</v>
      </c>
      <c r="E74" s="122"/>
      <c r="F74" s="124">
        <v>5000.0</v>
      </c>
      <c r="G74" s="122"/>
      <c r="H74" s="122"/>
      <c r="I74" s="122"/>
      <c r="J74" s="122"/>
      <c r="K74" s="122"/>
      <c r="L74" s="122"/>
      <c r="M74" s="124"/>
      <c r="N74" s="122"/>
      <c r="O74" s="122"/>
      <c r="P74" s="122"/>
      <c r="Q74" s="124"/>
      <c r="R74" s="122"/>
      <c r="S74" s="122"/>
      <c r="T74" s="122"/>
      <c r="U74" s="122"/>
      <c r="V74" s="122"/>
      <c r="W74" s="122"/>
      <c r="X74" s="122"/>
      <c r="Y74" s="122"/>
      <c r="Z74" s="122"/>
      <c r="AA74" s="120">
        <f t="shared" si="1"/>
        <v>0</v>
      </c>
      <c r="AB74" s="122"/>
      <c r="AC74" s="122"/>
      <c r="AD74" s="122"/>
    </row>
    <row r="75">
      <c r="A75" s="124">
        <v>20.0</v>
      </c>
      <c r="B75" s="125" t="s">
        <v>105</v>
      </c>
      <c r="C75" s="124"/>
      <c r="D75" s="124">
        <v>-5000.0</v>
      </c>
      <c r="E75" s="122"/>
      <c r="F75" s="124">
        <v>5000.0</v>
      </c>
      <c r="G75" s="122"/>
      <c r="H75" s="122"/>
      <c r="I75" s="122"/>
      <c r="J75" s="122"/>
      <c r="K75" s="122"/>
      <c r="L75" s="122"/>
      <c r="M75" s="124"/>
      <c r="N75" s="122"/>
      <c r="O75" s="122"/>
      <c r="P75" s="122"/>
      <c r="Q75" s="124"/>
      <c r="R75" s="122"/>
      <c r="S75" s="122"/>
      <c r="T75" s="122"/>
      <c r="U75" s="122"/>
      <c r="V75" s="122"/>
      <c r="W75" s="122"/>
      <c r="X75" s="122"/>
      <c r="Y75" s="122"/>
      <c r="Z75" s="122"/>
      <c r="AA75" s="120">
        <f t="shared" si="1"/>
        <v>0</v>
      </c>
      <c r="AB75" s="122"/>
      <c r="AC75" s="122"/>
      <c r="AD75" s="122"/>
    </row>
    <row r="76">
      <c r="A76" s="124">
        <v>99.0</v>
      </c>
      <c r="B76" s="125" t="s">
        <v>106</v>
      </c>
      <c r="C76" s="124"/>
      <c r="D76" s="124"/>
      <c r="E76" s="122"/>
      <c r="F76" s="124">
        <v>-8600.0</v>
      </c>
      <c r="G76" s="122"/>
      <c r="H76" s="122"/>
      <c r="I76" s="122"/>
      <c r="J76" s="122"/>
      <c r="K76" s="122"/>
      <c r="L76" s="122"/>
      <c r="M76" s="124" t="s">
        <v>72</v>
      </c>
      <c r="N76" s="124">
        <v>8600.0</v>
      </c>
      <c r="O76" s="122"/>
      <c r="P76" s="122"/>
      <c r="Q76" s="124"/>
      <c r="R76" s="122"/>
      <c r="S76" s="122"/>
      <c r="T76" s="122"/>
      <c r="U76" s="122"/>
      <c r="V76" s="122"/>
      <c r="W76" s="122"/>
      <c r="X76" s="122"/>
      <c r="Y76" s="122"/>
      <c r="Z76" s="122"/>
      <c r="AA76" s="120">
        <f t="shared" si="1"/>
        <v>0</v>
      </c>
      <c r="AB76" s="122"/>
      <c r="AC76" s="122"/>
      <c r="AD76" s="122"/>
    </row>
    <row r="77">
      <c r="A77" s="124">
        <v>99.0</v>
      </c>
      <c r="B77" s="125" t="s">
        <v>107</v>
      </c>
      <c r="C77" s="124"/>
      <c r="D77" s="124">
        <v>-5000.0</v>
      </c>
      <c r="E77" s="122"/>
      <c r="F77" s="122"/>
      <c r="G77" s="122"/>
      <c r="H77" s="122"/>
      <c r="I77" s="122"/>
      <c r="J77" s="122"/>
      <c r="K77" s="122"/>
      <c r="L77" s="122"/>
      <c r="M77" s="124"/>
      <c r="N77" s="122"/>
      <c r="O77" s="122"/>
      <c r="P77" s="122"/>
      <c r="Q77" s="124"/>
      <c r="R77" s="122"/>
      <c r="S77" s="122"/>
      <c r="T77" s="122"/>
      <c r="U77" s="122"/>
      <c r="V77" s="122"/>
      <c r="W77" s="122"/>
      <c r="X77" s="122"/>
      <c r="Y77" s="122"/>
      <c r="Z77" s="122"/>
      <c r="AA77" s="120">
        <f t="shared" si="1"/>
        <v>-5000</v>
      </c>
      <c r="AB77" s="122"/>
      <c r="AC77" s="122"/>
      <c r="AD77" s="122"/>
    </row>
    <row r="78">
      <c r="A78" s="124">
        <v>15.0</v>
      </c>
      <c r="B78" s="125" t="s">
        <v>108</v>
      </c>
      <c r="C78" s="124"/>
      <c r="D78" s="124">
        <v>-720.0</v>
      </c>
      <c r="E78" s="122"/>
      <c r="F78" s="122"/>
      <c r="G78" s="122"/>
      <c r="H78" s="122"/>
      <c r="I78" s="122"/>
      <c r="J78" s="122"/>
      <c r="K78" s="122"/>
      <c r="L78" s="122"/>
      <c r="M78" s="124" t="s">
        <v>72</v>
      </c>
      <c r="N78" s="124">
        <v>720.0</v>
      </c>
      <c r="O78" s="122"/>
      <c r="P78" s="122"/>
      <c r="Q78" s="124"/>
      <c r="R78" s="122"/>
      <c r="S78" s="122"/>
      <c r="T78" s="122"/>
      <c r="U78" s="122"/>
      <c r="V78" s="122"/>
      <c r="W78" s="122"/>
      <c r="X78" s="122"/>
      <c r="Y78" s="122"/>
      <c r="Z78" s="122"/>
      <c r="AA78" s="120">
        <f t="shared" si="1"/>
        <v>0</v>
      </c>
      <c r="AB78" s="122"/>
      <c r="AC78" s="122"/>
      <c r="AD78" s="122"/>
    </row>
    <row r="79">
      <c r="A79" s="124">
        <v>15.0</v>
      </c>
      <c r="B79" s="125" t="s">
        <v>109</v>
      </c>
      <c r="C79" s="124"/>
      <c r="D79" s="124">
        <v>-3000.0</v>
      </c>
      <c r="E79" s="122"/>
      <c r="F79" s="122"/>
      <c r="G79" s="122"/>
      <c r="H79" s="122"/>
      <c r="I79" s="122"/>
      <c r="J79" s="122"/>
      <c r="K79" s="122"/>
      <c r="L79" s="122"/>
      <c r="M79" s="124" t="s">
        <v>72</v>
      </c>
      <c r="N79" s="124"/>
      <c r="O79" s="122"/>
      <c r="P79" s="122"/>
      <c r="Q79" s="124">
        <v>3000.0</v>
      </c>
      <c r="R79" s="122"/>
      <c r="S79" s="122"/>
      <c r="T79" s="122"/>
      <c r="U79" s="122"/>
      <c r="V79" s="122"/>
      <c r="W79" s="122"/>
      <c r="X79" s="122"/>
      <c r="Y79" s="122"/>
      <c r="Z79" s="122"/>
      <c r="AA79" s="120">
        <f t="shared" si="1"/>
        <v>0</v>
      </c>
      <c r="AB79" s="122"/>
      <c r="AC79" s="122"/>
      <c r="AD79" s="122"/>
    </row>
    <row r="80">
      <c r="A80" s="124">
        <v>15.0</v>
      </c>
      <c r="B80" s="125" t="s">
        <v>110</v>
      </c>
      <c r="C80" s="124"/>
      <c r="D80" s="124">
        <v>-1000.0</v>
      </c>
      <c r="E80" s="122"/>
      <c r="F80" s="122"/>
      <c r="G80" s="122"/>
      <c r="H80" s="122"/>
      <c r="I80" s="122"/>
      <c r="J80" s="122"/>
      <c r="K80" s="122"/>
      <c r="L80" s="122"/>
      <c r="M80" s="124" t="s">
        <v>72</v>
      </c>
      <c r="N80" s="122"/>
      <c r="O80" s="122"/>
      <c r="P80" s="122"/>
      <c r="Q80" s="124">
        <v>1000.0</v>
      </c>
      <c r="R80" s="122"/>
      <c r="S80" s="122"/>
      <c r="T80" s="122"/>
      <c r="U80" s="122"/>
      <c r="V80" s="122"/>
      <c r="W80" s="122"/>
      <c r="X80" s="122"/>
      <c r="Y80" s="122"/>
      <c r="Z80" s="122"/>
      <c r="AA80" s="120">
        <f t="shared" si="1"/>
        <v>0</v>
      </c>
      <c r="AB80" s="122"/>
      <c r="AC80" s="122"/>
      <c r="AD80" s="122"/>
    </row>
    <row r="81">
      <c r="A81" s="124">
        <v>15.0</v>
      </c>
      <c r="B81" s="125" t="s">
        <v>111</v>
      </c>
      <c r="C81" s="124"/>
      <c r="D81" s="124">
        <v>-800.0</v>
      </c>
      <c r="E81" s="122"/>
      <c r="F81" s="122"/>
      <c r="G81" s="122"/>
      <c r="H81" s="122"/>
      <c r="I81" s="122"/>
      <c r="J81" s="122"/>
      <c r="K81" s="122"/>
      <c r="L81" s="122"/>
      <c r="M81" s="124" t="s">
        <v>79</v>
      </c>
      <c r="N81" s="122"/>
      <c r="O81" s="122"/>
      <c r="P81" s="124">
        <v>800.0</v>
      </c>
      <c r="Q81" s="124"/>
      <c r="R81" s="122"/>
      <c r="S81" s="122"/>
      <c r="T81" s="122"/>
      <c r="U81" s="122"/>
      <c r="V81" s="122"/>
      <c r="W81" s="122"/>
      <c r="X81" s="122"/>
      <c r="Y81" s="122"/>
      <c r="Z81" s="122"/>
      <c r="AA81" s="120">
        <f t="shared" si="1"/>
        <v>0</v>
      </c>
      <c r="AB81" s="122"/>
      <c r="AC81" s="122"/>
      <c r="AD81" s="122"/>
    </row>
    <row r="82">
      <c r="A82" s="124">
        <v>99.0</v>
      </c>
      <c r="B82" s="125" t="s">
        <v>112</v>
      </c>
      <c r="C82" s="124"/>
      <c r="D82" s="124">
        <v>3000.0</v>
      </c>
      <c r="E82" s="122"/>
      <c r="F82" s="122"/>
      <c r="G82" s="122"/>
      <c r="H82" s="122"/>
      <c r="I82" s="122"/>
      <c r="J82" s="122"/>
      <c r="K82" s="122"/>
      <c r="L82" s="122"/>
      <c r="M82" s="124"/>
      <c r="N82" s="122"/>
      <c r="O82" s="122"/>
      <c r="P82" s="122"/>
      <c r="Q82" s="124"/>
      <c r="R82" s="122"/>
      <c r="S82" s="122"/>
      <c r="T82" s="122"/>
      <c r="U82" s="122"/>
      <c r="V82" s="122"/>
      <c r="W82" s="122"/>
      <c r="X82" s="122"/>
      <c r="Y82" s="122"/>
      <c r="Z82" s="124">
        <v>3000.0</v>
      </c>
      <c r="AA82" s="120">
        <f t="shared" si="1"/>
        <v>0</v>
      </c>
      <c r="AB82" s="122"/>
      <c r="AC82" s="122"/>
      <c r="AD82" s="122"/>
    </row>
    <row r="83">
      <c r="A83" s="124">
        <v>99.0</v>
      </c>
      <c r="B83" s="125" t="s">
        <v>113</v>
      </c>
      <c r="C83" s="124"/>
      <c r="D83" s="124">
        <v>-210.0</v>
      </c>
      <c r="E83" s="122"/>
      <c r="F83" s="122"/>
      <c r="G83" s="122"/>
      <c r="H83" s="122"/>
      <c r="I83" s="122"/>
      <c r="J83" s="122"/>
      <c r="K83" s="122"/>
      <c r="L83" s="122"/>
      <c r="M83" s="124" t="s">
        <v>81</v>
      </c>
      <c r="N83" s="124">
        <v>210.0</v>
      </c>
      <c r="O83" s="122"/>
      <c r="P83" s="122"/>
      <c r="Q83" s="124"/>
      <c r="R83" s="122"/>
      <c r="S83" s="122"/>
      <c r="T83" s="122"/>
      <c r="U83" s="122"/>
      <c r="V83" s="122"/>
      <c r="W83" s="122"/>
      <c r="X83" s="122"/>
      <c r="Y83" s="122"/>
      <c r="Z83" s="122"/>
      <c r="AA83" s="120">
        <f t="shared" si="1"/>
        <v>0</v>
      </c>
      <c r="AB83" s="122"/>
      <c r="AC83" s="122"/>
      <c r="AD83" s="122"/>
    </row>
    <row r="84">
      <c r="A84" s="124">
        <v>99.0</v>
      </c>
      <c r="B84" s="125" t="s">
        <v>114</v>
      </c>
      <c r="C84" s="124"/>
      <c r="D84" s="124">
        <v>-1500.0</v>
      </c>
      <c r="E84" s="122"/>
      <c r="F84" s="122"/>
      <c r="G84" s="122"/>
      <c r="H84" s="122"/>
      <c r="I84" s="122"/>
      <c r="J84" s="122"/>
      <c r="K84" s="122"/>
      <c r="L84" s="122"/>
      <c r="M84" s="124" t="s">
        <v>72</v>
      </c>
      <c r="N84" s="122"/>
      <c r="O84" s="122"/>
      <c r="P84" s="122"/>
      <c r="Q84" s="124">
        <v>1500.0</v>
      </c>
      <c r="R84" s="122"/>
      <c r="S84" s="122"/>
      <c r="T84" s="122"/>
      <c r="U84" s="122"/>
      <c r="V84" s="122"/>
      <c r="W84" s="122"/>
      <c r="X84" s="122"/>
      <c r="Y84" s="122"/>
      <c r="Z84" s="122"/>
      <c r="AA84" s="120">
        <f t="shared" si="1"/>
        <v>0</v>
      </c>
      <c r="AB84" s="122"/>
      <c r="AC84" s="122"/>
      <c r="AD84" s="122"/>
    </row>
    <row r="85">
      <c r="A85" s="124">
        <v>99.0</v>
      </c>
      <c r="B85" s="125" t="s">
        <v>115</v>
      </c>
      <c r="C85" s="124"/>
      <c r="D85" s="124">
        <v>-1800.0</v>
      </c>
      <c r="E85" s="122"/>
      <c r="F85" s="122"/>
      <c r="G85" s="122"/>
      <c r="H85" s="122"/>
      <c r="I85" s="122"/>
      <c r="J85" s="122"/>
      <c r="K85" s="122"/>
      <c r="L85" s="122"/>
      <c r="M85" s="124" t="s">
        <v>72</v>
      </c>
      <c r="N85" s="124">
        <v>1800.0</v>
      </c>
      <c r="O85" s="122"/>
      <c r="P85" s="122"/>
      <c r="Q85" s="124"/>
      <c r="R85" s="122"/>
      <c r="S85" s="122"/>
      <c r="T85" s="122"/>
      <c r="U85" s="122"/>
      <c r="V85" s="122"/>
      <c r="W85" s="122"/>
      <c r="X85" s="122"/>
      <c r="Y85" s="122"/>
      <c r="Z85" s="122"/>
      <c r="AA85" s="120">
        <f t="shared" si="1"/>
        <v>0</v>
      </c>
      <c r="AB85" s="122"/>
      <c r="AC85" s="122"/>
      <c r="AD85" s="122"/>
    </row>
    <row r="86">
      <c r="A86" s="124">
        <v>99.0</v>
      </c>
      <c r="B86" s="125" t="s">
        <v>116</v>
      </c>
      <c r="C86" s="124"/>
      <c r="D86" s="124">
        <v>-2100.0</v>
      </c>
      <c r="E86" s="122"/>
      <c r="F86" s="122"/>
      <c r="G86" s="122"/>
      <c r="H86" s="122"/>
      <c r="I86" s="122"/>
      <c r="J86" s="122"/>
      <c r="K86" s="122"/>
      <c r="L86" s="122"/>
      <c r="M86" s="124" t="s">
        <v>72</v>
      </c>
      <c r="N86" s="124">
        <v>2100.0</v>
      </c>
      <c r="O86" s="122"/>
      <c r="P86" s="122"/>
      <c r="Q86" s="124"/>
      <c r="R86" s="122"/>
      <c r="S86" s="122"/>
      <c r="T86" s="122"/>
      <c r="U86" s="122"/>
      <c r="V86" s="122"/>
      <c r="W86" s="122"/>
      <c r="X86" s="122"/>
      <c r="Y86" s="122"/>
      <c r="Z86" s="122"/>
      <c r="AA86" s="120">
        <f t="shared" si="1"/>
        <v>0</v>
      </c>
      <c r="AB86" s="122"/>
      <c r="AC86" s="122"/>
      <c r="AD86" s="122"/>
    </row>
    <row r="87">
      <c r="A87" s="124"/>
      <c r="B87" s="125"/>
      <c r="C87" s="124"/>
      <c r="D87" s="122"/>
      <c r="E87" s="122"/>
      <c r="F87" s="122"/>
      <c r="G87" s="122"/>
      <c r="H87" s="122"/>
      <c r="I87" s="122"/>
      <c r="J87" s="122"/>
      <c r="K87" s="122"/>
      <c r="L87" s="122"/>
      <c r="M87" s="124"/>
      <c r="N87" s="122"/>
      <c r="O87" s="122"/>
      <c r="P87" s="122"/>
      <c r="Q87" s="124"/>
      <c r="R87" s="122"/>
      <c r="S87" s="122"/>
      <c r="T87" s="122"/>
      <c r="U87" s="122"/>
      <c r="V87" s="122"/>
      <c r="W87" s="122"/>
      <c r="X87" s="122"/>
      <c r="Y87" s="122"/>
      <c r="Z87" s="122"/>
      <c r="AA87" s="120">
        <f t="shared" si="1"/>
        <v>0</v>
      </c>
      <c r="AB87" s="122"/>
      <c r="AC87" s="122"/>
      <c r="AD87" s="122"/>
    </row>
    <row r="88">
      <c r="A88" s="124"/>
      <c r="B88" s="125"/>
      <c r="C88" s="124"/>
      <c r="D88" s="122"/>
      <c r="E88" s="122"/>
      <c r="F88" s="122"/>
      <c r="G88" s="122"/>
      <c r="H88" s="122"/>
      <c r="I88" s="122"/>
      <c r="J88" s="122"/>
      <c r="K88" s="122"/>
      <c r="L88" s="122"/>
      <c r="M88" s="124"/>
      <c r="N88" s="122"/>
      <c r="O88" s="122"/>
      <c r="P88" s="122"/>
      <c r="Q88" s="124"/>
      <c r="R88" s="122"/>
      <c r="S88" s="122"/>
      <c r="T88" s="122"/>
      <c r="U88" s="122"/>
      <c r="V88" s="122"/>
      <c r="W88" s="122"/>
      <c r="X88" s="122"/>
      <c r="Y88" s="122"/>
      <c r="Z88" s="122"/>
      <c r="AA88" s="120">
        <f t="shared" si="1"/>
        <v>0</v>
      </c>
      <c r="AB88" s="122"/>
      <c r="AC88" s="122"/>
      <c r="AD88" s="122"/>
    </row>
    <row r="89">
      <c r="A89" s="124"/>
      <c r="B89" s="125"/>
      <c r="C89" s="124"/>
      <c r="D89" s="122"/>
      <c r="E89" s="122"/>
      <c r="F89" s="122"/>
      <c r="G89" s="122"/>
      <c r="H89" s="122"/>
      <c r="I89" s="122"/>
      <c r="J89" s="122"/>
      <c r="K89" s="122"/>
      <c r="L89" s="122"/>
      <c r="M89" s="124"/>
      <c r="N89" s="122"/>
      <c r="O89" s="122"/>
      <c r="P89" s="122"/>
      <c r="Q89" s="124"/>
      <c r="R89" s="122"/>
      <c r="S89" s="122"/>
      <c r="T89" s="122"/>
      <c r="U89" s="122"/>
      <c r="V89" s="122"/>
      <c r="W89" s="122"/>
      <c r="X89" s="122"/>
      <c r="Y89" s="122"/>
      <c r="Z89" s="122"/>
      <c r="AA89" s="120">
        <f t="shared" si="1"/>
        <v>0</v>
      </c>
      <c r="AB89" s="122"/>
      <c r="AC89" s="122"/>
      <c r="AD89" s="122"/>
    </row>
    <row r="90">
      <c r="A90" s="124"/>
      <c r="B90" s="125"/>
      <c r="C90" s="124"/>
      <c r="D90" s="122"/>
      <c r="E90" s="122"/>
      <c r="F90" s="122"/>
      <c r="G90" s="122"/>
      <c r="H90" s="122"/>
      <c r="I90" s="122"/>
      <c r="J90" s="122"/>
      <c r="K90" s="122"/>
      <c r="L90" s="122"/>
      <c r="M90" s="124"/>
      <c r="N90" s="122"/>
      <c r="O90" s="122"/>
      <c r="P90" s="122"/>
      <c r="Q90" s="124"/>
      <c r="R90" s="122"/>
      <c r="S90" s="122"/>
      <c r="T90" s="122"/>
      <c r="U90" s="122"/>
      <c r="V90" s="122"/>
      <c r="W90" s="122"/>
      <c r="X90" s="122"/>
      <c r="Y90" s="122"/>
      <c r="Z90" s="122"/>
      <c r="AA90" s="120">
        <f t="shared" si="1"/>
        <v>0</v>
      </c>
      <c r="AB90" s="122"/>
      <c r="AC90" s="122"/>
      <c r="AD90" s="122"/>
    </row>
    <row r="91">
      <c r="A91" s="124"/>
      <c r="B91" s="125"/>
      <c r="C91" s="124"/>
      <c r="D91" s="122"/>
      <c r="E91" s="122"/>
      <c r="F91" s="122"/>
      <c r="G91" s="122"/>
      <c r="H91" s="122"/>
      <c r="I91" s="122"/>
      <c r="J91" s="122"/>
      <c r="K91" s="122"/>
      <c r="L91" s="122"/>
      <c r="M91" s="124"/>
      <c r="N91" s="122"/>
      <c r="O91" s="122"/>
      <c r="P91" s="122"/>
      <c r="Q91" s="124"/>
      <c r="R91" s="122"/>
      <c r="S91" s="122"/>
      <c r="T91" s="122"/>
      <c r="U91" s="122"/>
      <c r="V91" s="122"/>
      <c r="W91" s="122"/>
      <c r="X91" s="122"/>
      <c r="Y91" s="122"/>
      <c r="Z91" s="122"/>
      <c r="AA91" s="120">
        <f t="shared" si="1"/>
        <v>0</v>
      </c>
      <c r="AB91" s="122"/>
      <c r="AC91" s="122"/>
      <c r="AD91" s="122"/>
    </row>
    <row r="92">
      <c r="A92" s="124"/>
      <c r="B92" s="125"/>
      <c r="C92" s="124"/>
      <c r="D92" s="122"/>
      <c r="E92" s="122"/>
      <c r="F92" s="122"/>
      <c r="G92" s="122"/>
      <c r="H92" s="122"/>
      <c r="I92" s="122"/>
      <c r="J92" s="122"/>
      <c r="K92" s="122"/>
      <c r="L92" s="122"/>
      <c r="M92" s="124"/>
      <c r="N92" s="122"/>
      <c r="O92" s="122"/>
      <c r="P92" s="122"/>
      <c r="Q92" s="124"/>
      <c r="R92" s="122"/>
      <c r="S92" s="122"/>
      <c r="T92" s="122"/>
      <c r="U92" s="122"/>
      <c r="V92" s="122"/>
      <c r="W92" s="122"/>
      <c r="X92" s="122"/>
      <c r="Y92" s="122"/>
      <c r="Z92" s="122"/>
      <c r="AA92" s="120">
        <f t="shared" si="1"/>
        <v>0</v>
      </c>
      <c r="AB92" s="122"/>
      <c r="AC92" s="122"/>
      <c r="AD92" s="122"/>
    </row>
    <row r="93">
      <c r="A93" s="124"/>
      <c r="B93" s="125"/>
      <c r="C93" s="124"/>
      <c r="D93" s="122"/>
      <c r="E93" s="122"/>
      <c r="F93" s="122"/>
      <c r="G93" s="122"/>
      <c r="H93" s="122"/>
      <c r="I93" s="122"/>
      <c r="J93" s="122"/>
      <c r="K93" s="122"/>
      <c r="L93" s="122"/>
      <c r="M93" s="124"/>
      <c r="N93" s="122"/>
      <c r="O93" s="122"/>
      <c r="P93" s="122"/>
      <c r="Q93" s="124"/>
      <c r="R93" s="122"/>
      <c r="S93" s="122"/>
      <c r="T93" s="122"/>
      <c r="U93" s="122"/>
      <c r="V93" s="122"/>
      <c r="W93" s="122"/>
      <c r="X93" s="122"/>
      <c r="Y93" s="122"/>
      <c r="Z93" s="122"/>
      <c r="AA93" s="120">
        <f t="shared" si="1"/>
        <v>0</v>
      </c>
      <c r="AB93" s="122"/>
      <c r="AC93" s="122"/>
      <c r="AD93" s="122"/>
    </row>
    <row r="94">
      <c r="A94" s="124"/>
      <c r="B94" s="125"/>
      <c r="C94" s="124"/>
      <c r="D94" s="122"/>
      <c r="E94" s="122"/>
      <c r="F94" s="122"/>
      <c r="G94" s="122"/>
      <c r="H94" s="122"/>
      <c r="I94" s="122"/>
      <c r="J94" s="122"/>
      <c r="K94" s="122"/>
      <c r="L94" s="122"/>
      <c r="M94" s="124"/>
      <c r="N94" s="122"/>
      <c r="O94" s="122"/>
      <c r="P94" s="122"/>
      <c r="Q94" s="124"/>
      <c r="R94" s="122"/>
      <c r="S94" s="122"/>
      <c r="T94" s="122"/>
      <c r="U94" s="122"/>
      <c r="V94" s="122"/>
      <c r="W94" s="122"/>
      <c r="X94" s="122"/>
      <c r="Y94" s="122"/>
      <c r="Z94" s="122"/>
      <c r="AA94" s="120">
        <f t="shared" si="1"/>
        <v>0</v>
      </c>
      <c r="AB94" s="122"/>
      <c r="AC94" s="122"/>
      <c r="AD94" s="122"/>
    </row>
    <row r="95">
      <c r="A95" s="124"/>
      <c r="B95" s="125"/>
      <c r="C95" s="124"/>
      <c r="D95" s="122"/>
      <c r="E95" s="122"/>
      <c r="F95" s="122"/>
      <c r="G95" s="122"/>
      <c r="H95" s="122"/>
      <c r="I95" s="122"/>
      <c r="J95" s="122"/>
      <c r="K95" s="122"/>
      <c r="L95" s="122"/>
      <c r="M95" s="124"/>
      <c r="N95" s="122"/>
      <c r="O95" s="122"/>
      <c r="P95" s="122"/>
      <c r="Q95" s="124"/>
      <c r="R95" s="122"/>
      <c r="S95" s="122"/>
      <c r="T95" s="122"/>
      <c r="U95" s="122"/>
      <c r="V95" s="122"/>
      <c r="W95" s="122"/>
      <c r="X95" s="122"/>
      <c r="Y95" s="122"/>
      <c r="Z95" s="122"/>
      <c r="AA95" s="120">
        <f t="shared" si="1"/>
        <v>0</v>
      </c>
      <c r="AB95" s="122"/>
      <c r="AC95" s="122"/>
      <c r="AD95" s="122"/>
    </row>
    <row r="96">
      <c r="A96" s="124"/>
      <c r="B96" s="125"/>
      <c r="C96" s="124"/>
      <c r="D96" s="122"/>
      <c r="E96" s="122"/>
      <c r="F96" s="122"/>
      <c r="G96" s="122"/>
      <c r="H96" s="122"/>
      <c r="I96" s="122"/>
      <c r="J96" s="122"/>
      <c r="K96" s="122"/>
      <c r="L96" s="122"/>
      <c r="M96" s="124"/>
      <c r="N96" s="122"/>
      <c r="O96" s="122"/>
      <c r="P96" s="122"/>
      <c r="Q96" s="124"/>
      <c r="R96" s="122"/>
      <c r="S96" s="122"/>
      <c r="T96" s="122"/>
      <c r="U96" s="122"/>
      <c r="V96" s="122"/>
      <c r="W96" s="122"/>
      <c r="X96" s="122"/>
      <c r="Y96" s="122"/>
      <c r="Z96" s="122"/>
      <c r="AA96" s="120">
        <f t="shared" si="1"/>
        <v>0</v>
      </c>
      <c r="AB96" s="122"/>
      <c r="AC96" s="122"/>
      <c r="AD96" s="122"/>
    </row>
    <row r="97">
      <c r="A97" s="124"/>
      <c r="B97" s="125"/>
      <c r="C97" s="124"/>
      <c r="D97" s="122"/>
      <c r="E97" s="122"/>
      <c r="F97" s="122"/>
      <c r="G97" s="122"/>
      <c r="H97" s="122"/>
      <c r="I97" s="122"/>
      <c r="J97" s="122"/>
      <c r="K97" s="122"/>
      <c r="L97" s="122"/>
      <c r="M97" s="124"/>
      <c r="N97" s="122"/>
      <c r="O97" s="122"/>
      <c r="P97" s="122"/>
      <c r="Q97" s="124"/>
      <c r="R97" s="122"/>
      <c r="S97" s="122"/>
      <c r="T97" s="122"/>
      <c r="U97" s="122"/>
      <c r="V97" s="122"/>
      <c r="W97" s="122"/>
      <c r="X97" s="122"/>
      <c r="Y97" s="122"/>
      <c r="Z97" s="122"/>
      <c r="AA97" s="120">
        <f t="shared" si="1"/>
        <v>0</v>
      </c>
      <c r="AB97" s="122"/>
      <c r="AC97" s="122"/>
      <c r="AD97" s="122"/>
    </row>
    <row r="98">
      <c r="A98" s="124"/>
      <c r="B98" s="125"/>
      <c r="C98" s="124"/>
      <c r="D98" s="122"/>
      <c r="E98" s="122"/>
      <c r="F98" s="122"/>
      <c r="G98" s="122"/>
      <c r="H98" s="122"/>
      <c r="I98" s="122"/>
      <c r="J98" s="122"/>
      <c r="K98" s="122"/>
      <c r="L98" s="122"/>
      <c r="M98" s="124"/>
      <c r="N98" s="122"/>
      <c r="O98" s="122"/>
      <c r="P98" s="122"/>
      <c r="Q98" s="124"/>
      <c r="R98" s="122"/>
      <c r="S98" s="122"/>
      <c r="T98" s="122"/>
      <c r="U98" s="122"/>
      <c r="V98" s="122"/>
      <c r="W98" s="122"/>
      <c r="X98" s="122"/>
      <c r="Y98" s="122"/>
      <c r="Z98" s="122"/>
      <c r="AA98" s="120">
        <f t="shared" si="1"/>
        <v>0</v>
      </c>
      <c r="AB98" s="122"/>
      <c r="AC98" s="122"/>
      <c r="AD98" s="122"/>
    </row>
    <row r="99">
      <c r="A99" s="124"/>
      <c r="B99" s="125"/>
      <c r="C99" s="124"/>
      <c r="D99" s="122"/>
      <c r="E99" s="122"/>
      <c r="F99" s="122"/>
      <c r="G99" s="122"/>
      <c r="H99" s="122"/>
      <c r="I99" s="122"/>
      <c r="J99" s="122"/>
      <c r="K99" s="122"/>
      <c r="L99" s="122"/>
      <c r="M99" s="124"/>
      <c r="N99" s="122"/>
      <c r="O99" s="122"/>
      <c r="P99" s="122"/>
      <c r="Q99" s="124"/>
      <c r="R99" s="122"/>
      <c r="S99" s="122"/>
      <c r="T99" s="122"/>
      <c r="U99" s="122"/>
      <c r="V99" s="122"/>
      <c r="W99" s="122"/>
      <c r="X99" s="122"/>
      <c r="Y99" s="122"/>
      <c r="Z99" s="122"/>
      <c r="AA99" s="120">
        <f t="shared" si="1"/>
        <v>0</v>
      </c>
      <c r="AB99" s="122"/>
      <c r="AC99" s="122"/>
      <c r="AD99" s="122"/>
    </row>
    <row r="100">
      <c r="A100" s="124"/>
      <c r="B100" s="125"/>
      <c r="C100" s="124"/>
      <c r="D100" s="122"/>
      <c r="E100" s="122"/>
      <c r="F100" s="122"/>
      <c r="G100" s="122"/>
      <c r="H100" s="122"/>
      <c r="I100" s="122"/>
      <c r="J100" s="122"/>
      <c r="K100" s="122"/>
      <c r="L100" s="122"/>
      <c r="M100" s="124"/>
      <c r="N100" s="122"/>
      <c r="O100" s="122"/>
      <c r="P100" s="122"/>
      <c r="Q100" s="124"/>
      <c r="R100" s="122"/>
      <c r="S100" s="122"/>
      <c r="T100" s="122"/>
      <c r="U100" s="122"/>
      <c r="V100" s="122"/>
      <c r="W100" s="122"/>
      <c r="X100" s="122"/>
      <c r="Y100" s="122"/>
      <c r="Z100" s="122"/>
      <c r="AA100" s="120">
        <f t="shared" si="1"/>
        <v>0</v>
      </c>
      <c r="AB100" s="122"/>
      <c r="AC100" s="122"/>
      <c r="AD100" s="122"/>
    </row>
    <row r="101">
      <c r="A101" s="124"/>
      <c r="B101" s="125"/>
      <c r="C101" s="124"/>
      <c r="D101" s="122"/>
      <c r="E101" s="122"/>
      <c r="F101" s="122"/>
      <c r="G101" s="122"/>
      <c r="H101" s="122"/>
      <c r="I101" s="122"/>
      <c r="J101" s="122"/>
      <c r="K101" s="122"/>
      <c r="L101" s="122"/>
      <c r="M101" s="124"/>
      <c r="N101" s="122"/>
      <c r="O101" s="122"/>
      <c r="P101" s="122"/>
      <c r="Q101" s="124"/>
      <c r="R101" s="122"/>
      <c r="S101" s="122"/>
      <c r="T101" s="122"/>
      <c r="U101" s="122"/>
      <c r="V101" s="122"/>
      <c r="W101" s="122"/>
      <c r="X101" s="122"/>
      <c r="Y101" s="122"/>
      <c r="Z101" s="122"/>
      <c r="AA101" s="120">
        <f t="shared" si="1"/>
        <v>0</v>
      </c>
      <c r="AB101" s="122"/>
      <c r="AC101" s="122"/>
      <c r="AD101" s="122"/>
    </row>
    <row r="102">
      <c r="A102" s="124"/>
      <c r="B102" s="125"/>
      <c r="C102" s="124"/>
      <c r="D102" s="122"/>
      <c r="E102" s="122"/>
      <c r="F102" s="122"/>
      <c r="G102" s="122"/>
      <c r="H102" s="122"/>
      <c r="I102" s="122"/>
      <c r="J102" s="122"/>
      <c r="K102" s="122"/>
      <c r="L102" s="122"/>
      <c r="M102" s="124"/>
      <c r="N102" s="122"/>
      <c r="O102" s="122"/>
      <c r="P102" s="122"/>
      <c r="Q102" s="124"/>
      <c r="R102" s="122"/>
      <c r="S102" s="122"/>
      <c r="T102" s="122"/>
      <c r="U102" s="122"/>
      <c r="V102" s="122"/>
      <c r="W102" s="122"/>
      <c r="X102" s="122"/>
      <c r="Y102" s="122"/>
      <c r="Z102" s="122"/>
      <c r="AA102" s="120">
        <f t="shared" si="1"/>
        <v>0</v>
      </c>
      <c r="AB102" s="122"/>
      <c r="AC102" s="122"/>
      <c r="AD102" s="122"/>
    </row>
    <row r="103">
      <c r="A103" s="124"/>
      <c r="B103" s="125"/>
      <c r="C103" s="124"/>
      <c r="D103" s="122"/>
      <c r="E103" s="122"/>
      <c r="F103" s="122"/>
      <c r="G103" s="122"/>
      <c r="H103" s="122"/>
      <c r="I103" s="122"/>
      <c r="J103" s="122"/>
      <c r="K103" s="122"/>
      <c r="L103" s="122"/>
      <c r="M103" s="124"/>
      <c r="N103" s="122"/>
      <c r="O103" s="122"/>
      <c r="P103" s="122"/>
      <c r="Q103" s="124"/>
      <c r="R103" s="122"/>
      <c r="S103" s="122"/>
      <c r="T103" s="122"/>
      <c r="U103" s="122"/>
      <c r="V103" s="122"/>
      <c r="W103" s="122"/>
      <c r="X103" s="122"/>
      <c r="Y103" s="122"/>
      <c r="Z103" s="122"/>
      <c r="AA103" s="120">
        <f t="shared" si="1"/>
        <v>0</v>
      </c>
      <c r="AB103" s="122"/>
      <c r="AC103" s="122"/>
      <c r="AD103" s="122"/>
    </row>
    <row r="104">
      <c r="A104" s="124"/>
      <c r="B104" s="125"/>
      <c r="C104" s="124"/>
      <c r="D104" s="122"/>
      <c r="E104" s="122"/>
      <c r="F104" s="122"/>
      <c r="G104" s="122"/>
      <c r="H104" s="122"/>
      <c r="I104" s="122"/>
      <c r="J104" s="122"/>
      <c r="K104" s="122"/>
      <c r="L104" s="122"/>
      <c r="M104" s="124"/>
      <c r="N104" s="122"/>
      <c r="O104" s="122"/>
      <c r="P104" s="122"/>
      <c r="Q104" s="124"/>
      <c r="R104" s="122"/>
      <c r="S104" s="122"/>
      <c r="T104" s="122"/>
      <c r="U104" s="122"/>
      <c r="V104" s="122"/>
      <c r="W104" s="122"/>
      <c r="X104" s="122"/>
      <c r="Y104" s="122"/>
      <c r="Z104" s="122"/>
      <c r="AA104" s="120">
        <f t="shared" si="1"/>
        <v>0</v>
      </c>
      <c r="AB104" s="122"/>
      <c r="AC104" s="122"/>
      <c r="AD104" s="122"/>
    </row>
    <row r="105">
      <c r="A105" s="124"/>
      <c r="B105" s="125"/>
      <c r="C105" s="124"/>
      <c r="D105" s="122"/>
      <c r="E105" s="122"/>
      <c r="F105" s="122"/>
      <c r="G105" s="122"/>
      <c r="H105" s="122"/>
      <c r="I105" s="122"/>
      <c r="J105" s="122"/>
      <c r="K105" s="122"/>
      <c r="L105" s="122"/>
      <c r="M105" s="124"/>
      <c r="N105" s="122"/>
      <c r="O105" s="122"/>
      <c r="P105" s="122"/>
      <c r="Q105" s="124"/>
      <c r="R105" s="122"/>
      <c r="S105" s="122"/>
      <c r="T105" s="122"/>
      <c r="U105" s="122"/>
      <c r="V105" s="122"/>
      <c r="W105" s="122"/>
      <c r="X105" s="122"/>
      <c r="Y105" s="122"/>
      <c r="Z105" s="122"/>
      <c r="AA105" s="120">
        <f t="shared" si="1"/>
        <v>0</v>
      </c>
      <c r="AB105" s="122"/>
      <c r="AC105" s="122"/>
      <c r="AD105" s="122"/>
    </row>
    <row r="106">
      <c r="A106" s="124"/>
      <c r="B106" s="125"/>
      <c r="C106" s="124"/>
      <c r="D106" s="122"/>
      <c r="E106" s="122"/>
      <c r="F106" s="122"/>
      <c r="G106" s="122"/>
      <c r="H106" s="122"/>
      <c r="I106" s="122"/>
      <c r="J106" s="122"/>
      <c r="K106" s="122"/>
      <c r="L106" s="122"/>
      <c r="M106" s="124"/>
      <c r="N106" s="122"/>
      <c r="O106" s="122"/>
      <c r="P106" s="122"/>
      <c r="Q106" s="124"/>
      <c r="R106" s="122"/>
      <c r="S106" s="122"/>
      <c r="T106" s="122"/>
      <c r="U106" s="122"/>
      <c r="V106" s="122"/>
      <c r="W106" s="122"/>
      <c r="X106" s="122"/>
      <c r="Y106" s="122"/>
      <c r="Z106" s="122"/>
      <c r="AA106" s="120">
        <f t="shared" si="1"/>
        <v>0</v>
      </c>
      <c r="AB106" s="122"/>
      <c r="AC106" s="122"/>
      <c r="AD106" s="122"/>
    </row>
    <row r="107">
      <c r="A107" s="124"/>
      <c r="B107" s="125"/>
      <c r="C107" s="124"/>
      <c r="D107" s="122"/>
      <c r="E107" s="122"/>
      <c r="F107" s="122"/>
      <c r="G107" s="122"/>
      <c r="H107" s="122"/>
      <c r="I107" s="122"/>
      <c r="J107" s="122"/>
      <c r="K107" s="122"/>
      <c r="L107" s="122"/>
      <c r="M107" s="124"/>
      <c r="N107" s="122"/>
      <c r="O107" s="122"/>
      <c r="P107" s="122"/>
      <c r="Q107" s="124"/>
      <c r="R107" s="122"/>
      <c r="S107" s="122"/>
      <c r="T107" s="122"/>
      <c r="U107" s="122"/>
      <c r="V107" s="122"/>
      <c r="W107" s="122"/>
      <c r="X107" s="122"/>
      <c r="Y107" s="122"/>
      <c r="Z107" s="122"/>
      <c r="AA107" s="120">
        <f t="shared" si="1"/>
        <v>0</v>
      </c>
      <c r="AB107" s="122"/>
      <c r="AC107" s="122"/>
      <c r="AD107" s="122"/>
    </row>
    <row r="108">
      <c r="A108" s="124"/>
      <c r="B108" s="125"/>
      <c r="C108" s="124"/>
      <c r="D108" s="122"/>
      <c r="E108" s="122"/>
      <c r="F108" s="122"/>
      <c r="G108" s="122"/>
      <c r="H108" s="122"/>
      <c r="I108" s="122"/>
      <c r="J108" s="122"/>
      <c r="K108" s="122"/>
      <c r="L108" s="122"/>
      <c r="M108" s="124"/>
      <c r="N108" s="122"/>
      <c r="O108" s="122"/>
      <c r="P108" s="122"/>
      <c r="Q108" s="124"/>
      <c r="R108" s="122"/>
      <c r="S108" s="122"/>
      <c r="T108" s="122"/>
      <c r="U108" s="122"/>
      <c r="V108" s="122"/>
      <c r="W108" s="122"/>
      <c r="X108" s="122"/>
      <c r="Y108" s="122"/>
      <c r="Z108" s="122"/>
      <c r="AA108" s="120">
        <f t="shared" si="1"/>
        <v>0</v>
      </c>
      <c r="AB108" s="122"/>
      <c r="AC108" s="122"/>
      <c r="AD108" s="122"/>
    </row>
    <row r="109">
      <c r="A109" s="109"/>
      <c r="B109" s="126"/>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c r="AD109" s="122"/>
    </row>
    <row r="110">
      <c r="A110" s="109"/>
      <c r="B110" s="126"/>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row>
    <row r="111">
      <c r="A111" s="109"/>
      <c r="B111" s="126"/>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c r="AD111" s="122"/>
    </row>
    <row r="112">
      <c r="A112" s="109"/>
      <c r="B112" s="126"/>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c r="AD112" s="122"/>
    </row>
    <row r="113">
      <c r="A113" s="109"/>
      <c r="B113" s="126"/>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row>
    <row r="114">
      <c r="A114" s="109"/>
      <c r="B114" s="126"/>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row>
    <row r="115">
      <c r="A115" s="109"/>
      <c r="B115" s="126"/>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row>
    <row r="116">
      <c r="A116" s="109"/>
      <c r="B116" s="126"/>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c r="AD116" s="122"/>
    </row>
    <row r="117">
      <c r="A117" s="109"/>
      <c r="B117" s="126"/>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2"/>
    </row>
    <row r="118">
      <c r="A118" s="109"/>
      <c r="B118" s="126"/>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c r="AD118" s="122"/>
    </row>
    <row r="119">
      <c r="A119" s="109"/>
      <c r="B119" s="126"/>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c r="AD119" s="122"/>
    </row>
    <row r="120">
      <c r="A120" s="109"/>
      <c r="B120" s="126"/>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row>
    <row r="121">
      <c r="A121" s="109"/>
      <c r="B121" s="126"/>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c r="AD121" s="122"/>
    </row>
    <row r="122">
      <c r="A122" s="109"/>
      <c r="B122" s="126"/>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c r="AD122" s="122"/>
    </row>
    <row r="123">
      <c r="A123" s="109"/>
      <c r="B123" s="126"/>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c r="AD123" s="122"/>
    </row>
    <row r="124">
      <c r="A124" s="109"/>
      <c r="B124" s="126"/>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row>
    <row r="125">
      <c r="A125" s="109"/>
      <c r="B125" s="126"/>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row>
    <row r="126">
      <c r="A126" s="109"/>
      <c r="B126" s="126"/>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c r="AD126" s="122"/>
    </row>
    <row r="127">
      <c r="A127" s="109"/>
      <c r="B127" s="126"/>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c r="AD127" s="122"/>
    </row>
    <row r="128">
      <c r="A128" s="109"/>
      <c r="B128" s="126"/>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c r="AD128" s="122"/>
    </row>
    <row r="129">
      <c r="A129" s="109"/>
      <c r="B129" s="126"/>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row>
    <row r="130">
      <c r="A130" s="109"/>
      <c r="B130" s="126"/>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row>
    <row r="131">
      <c r="A131" s="109"/>
      <c r="B131" s="126"/>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row>
    <row r="132">
      <c r="A132" s="109"/>
      <c r="B132" s="126"/>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c r="AD132" s="122"/>
    </row>
    <row r="133">
      <c r="A133" s="109"/>
      <c r="B133" s="126"/>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c r="AD133" s="122"/>
    </row>
    <row r="134">
      <c r="A134" s="109"/>
      <c r="B134" s="126"/>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c r="AD134" s="122"/>
    </row>
    <row r="135">
      <c r="A135" s="109"/>
      <c r="B135" s="126"/>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c r="AD135" s="122"/>
    </row>
    <row r="136">
      <c r="A136" s="109"/>
      <c r="B136" s="126"/>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2"/>
    </row>
    <row r="137">
      <c r="A137" s="109"/>
      <c r="B137" s="126"/>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c r="AD137" s="122"/>
    </row>
    <row r="138">
      <c r="A138" s="109"/>
      <c r="B138" s="126"/>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2"/>
    </row>
    <row r="139">
      <c r="A139" s="109"/>
      <c r="B139" s="126"/>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row>
    <row r="140">
      <c r="A140" s="109"/>
      <c r="B140" s="126"/>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2"/>
    </row>
    <row r="141">
      <c r="A141" s="109"/>
      <c r="B141" s="126"/>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row>
    <row r="142">
      <c r="A142" s="109"/>
      <c r="B142" s="126"/>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2"/>
    </row>
    <row r="143">
      <c r="A143" s="109"/>
      <c r="B143" s="126"/>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2"/>
    </row>
    <row r="144">
      <c r="A144" s="109"/>
      <c r="B144" s="126"/>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2"/>
    </row>
    <row r="145">
      <c r="A145" s="109"/>
      <c r="B145" s="126"/>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2"/>
    </row>
    <row r="146">
      <c r="A146" s="109"/>
      <c r="B146" s="126"/>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row>
    <row r="147">
      <c r="A147" s="109"/>
      <c r="B147" s="126"/>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row>
    <row r="148">
      <c r="A148" s="109"/>
      <c r="B148" s="126"/>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2"/>
    </row>
    <row r="149">
      <c r="A149" s="109"/>
      <c r="B149" s="126"/>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2"/>
    </row>
    <row r="150">
      <c r="A150" s="109"/>
      <c r="B150" s="126"/>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row>
    <row r="151">
      <c r="A151" s="109"/>
      <c r="B151" s="126"/>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row>
    <row r="152">
      <c r="A152" s="109"/>
      <c r="B152" s="126"/>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row>
    <row r="153">
      <c r="A153" s="109"/>
      <c r="B153" s="126"/>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c r="AD153" s="122"/>
    </row>
    <row r="154">
      <c r="A154" s="109"/>
      <c r="B154" s="126"/>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2"/>
    </row>
    <row r="155">
      <c r="A155" s="109"/>
      <c r="B155" s="126"/>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c r="AD155" s="122"/>
    </row>
    <row r="156">
      <c r="A156" s="109"/>
      <c r="B156" s="126"/>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c r="AD156" s="122"/>
    </row>
    <row r="157">
      <c r="A157" s="109"/>
      <c r="B157" s="126"/>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c r="AD157" s="122"/>
    </row>
    <row r="158">
      <c r="A158" s="109"/>
      <c r="B158" s="126"/>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c r="AD158" s="122"/>
    </row>
    <row r="159">
      <c r="A159" s="109"/>
      <c r="B159" s="126"/>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c r="AD159" s="122"/>
    </row>
    <row r="160">
      <c r="A160" s="109"/>
      <c r="B160" s="126"/>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row>
    <row r="161">
      <c r="A161" s="109"/>
      <c r="B161" s="126"/>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row>
    <row r="162">
      <c r="A162" s="109"/>
      <c r="B162" s="126"/>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c r="AD162" s="122"/>
    </row>
    <row r="163">
      <c r="A163" s="109"/>
      <c r="B163" s="126"/>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c r="AD163" s="122"/>
    </row>
    <row r="164">
      <c r="A164" s="109"/>
      <c r="B164" s="126"/>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c r="AD164" s="122"/>
    </row>
    <row r="165">
      <c r="A165" s="109"/>
      <c r="B165" s="126"/>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c r="AD165" s="122"/>
    </row>
    <row r="166">
      <c r="A166" s="109"/>
      <c r="B166" s="126"/>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2"/>
    </row>
    <row r="167">
      <c r="A167" s="109"/>
      <c r="B167" s="126"/>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c r="AD167" s="122"/>
    </row>
    <row r="168">
      <c r="A168" s="109"/>
      <c r="B168" s="126"/>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c r="AD168" s="122"/>
    </row>
    <row r="169">
      <c r="A169" s="109"/>
      <c r="B169" s="126"/>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c r="AD169" s="122"/>
    </row>
    <row r="170">
      <c r="A170" s="109"/>
      <c r="B170" s="126"/>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c r="AD170" s="122"/>
    </row>
    <row r="171">
      <c r="A171" s="109"/>
      <c r="B171" s="126"/>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c r="AD171" s="122"/>
    </row>
    <row r="172">
      <c r="A172" s="109"/>
      <c r="B172" s="126"/>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c r="AD172" s="122"/>
    </row>
    <row r="173">
      <c r="A173" s="109"/>
      <c r="B173" s="126"/>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c r="AD173" s="122"/>
    </row>
    <row r="174">
      <c r="A174" s="109"/>
      <c r="B174" s="126"/>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c r="AD174" s="122"/>
    </row>
    <row r="175">
      <c r="A175" s="109"/>
      <c r="B175" s="126"/>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c r="AD175" s="122"/>
    </row>
    <row r="176">
      <c r="A176" s="109"/>
      <c r="B176" s="126"/>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c r="AD176" s="122"/>
    </row>
    <row r="177">
      <c r="A177" s="109"/>
      <c r="B177" s="126"/>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row>
    <row r="178">
      <c r="A178" s="109"/>
      <c r="B178" s="126"/>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c r="AD178" s="122"/>
    </row>
    <row r="179">
      <c r="A179" s="109"/>
      <c r="B179" s="126"/>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row>
    <row r="180">
      <c r="A180" s="109"/>
      <c r="B180" s="126"/>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row>
    <row r="181">
      <c r="A181" s="109"/>
      <c r="B181" s="126"/>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row>
    <row r="182">
      <c r="A182" s="109"/>
      <c r="B182" s="126"/>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row>
    <row r="183">
      <c r="A183" s="109"/>
      <c r="B183" s="126"/>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row>
    <row r="184">
      <c r="A184" s="109"/>
      <c r="B184" s="126"/>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row>
    <row r="185">
      <c r="A185" s="109"/>
      <c r="B185" s="126"/>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row>
    <row r="186">
      <c r="A186" s="109"/>
      <c r="B186" s="126"/>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row>
    <row r="187">
      <c r="A187" s="109"/>
      <c r="B187" s="126"/>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c r="AD187" s="122"/>
    </row>
    <row r="188">
      <c r="A188" s="109"/>
      <c r="B188" s="126"/>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c r="AD188" s="122"/>
    </row>
    <row r="189">
      <c r="A189" s="109"/>
      <c r="B189" s="126"/>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c r="AD189" s="122"/>
    </row>
    <row r="190">
      <c r="A190" s="109"/>
      <c r="B190" s="126"/>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c r="AD190" s="122"/>
    </row>
    <row r="191">
      <c r="A191" s="109"/>
      <c r="B191" s="126"/>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row>
    <row r="192">
      <c r="A192" s="109"/>
      <c r="B192" s="126"/>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c r="AD192" s="122"/>
    </row>
    <row r="193">
      <c r="A193" s="109"/>
      <c r="B193" s="126"/>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c r="AD193" s="122"/>
    </row>
    <row r="194">
      <c r="A194" s="109"/>
      <c r="B194" s="126"/>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c r="AD194" s="122"/>
    </row>
    <row r="195">
      <c r="A195" s="109"/>
      <c r="B195" s="126"/>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row>
    <row r="196">
      <c r="A196" s="109"/>
      <c r="B196" s="126"/>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row>
    <row r="197">
      <c r="A197" s="109"/>
      <c r="B197" s="126"/>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row>
    <row r="198">
      <c r="A198" s="109"/>
      <c r="B198" s="126"/>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c r="AD198" s="122"/>
    </row>
    <row r="199">
      <c r="A199" s="109"/>
      <c r="B199" s="126"/>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c r="AD199" s="122"/>
    </row>
    <row r="200">
      <c r="A200" s="109"/>
      <c r="B200" s="126"/>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c r="AD200" s="122"/>
    </row>
    <row r="201">
      <c r="A201" s="109"/>
      <c r="B201" s="126"/>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c r="AD201" s="122"/>
    </row>
    <row r="202">
      <c r="A202" s="109"/>
      <c r="B202" s="126"/>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c r="AD202" s="122"/>
    </row>
    <row r="203">
      <c r="A203" s="109"/>
      <c r="B203" s="126"/>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c r="AD203" s="122"/>
    </row>
    <row r="204">
      <c r="A204" s="109"/>
      <c r="B204" s="126"/>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row>
    <row r="205">
      <c r="A205" s="109"/>
      <c r="B205" s="126"/>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c r="AD205" s="122"/>
    </row>
    <row r="206">
      <c r="A206" s="109"/>
      <c r="B206" s="126"/>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c r="AD206" s="122"/>
    </row>
    <row r="207">
      <c r="A207" s="109"/>
      <c r="B207" s="126"/>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c r="AD207" s="122"/>
    </row>
    <row r="208">
      <c r="A208" s="109"/>
      <c r="B208" s="126"/>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c r="AD208" s="122"/>
    </row>
    <row r="209">
      <c r="A209" s="109"/>
      <c r="B209" s="126"/>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row>
    <row r="210">
      <c r="A210" s="109"/>
      <c r="B210" s="126"/>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row>
    <row r="211">
      <c r="A211" s="109"/>
      <c r="B211" s="126"/>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c r="AD211" s="122"/>
    </row>
    <row r="212">
      <c r="A212" s="109"/>
      <c r="B212" s="126"/>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row>
    <row r="213">
      <c r="A213" s="109"/>
      <c r="B213" s="126"/>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c r="AD213" s="122"/>
    </row>
    <row r="214">
      <c r="A214" s="109"/>
      <c r="B214" s="126"/>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row>
    <row r="215">
      <c r="A215" s="109"/>
      <c r="B215" s="126"/>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row>
    <row r="216">
      <c r="A216" s="109"/>
      <c r="B216" s="126"/>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row>
    <row r="217">
      <c r="A217" s="109"/>
      <c r="B217" s="126"/>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2"/>
    </row>
    <row r="218">
      <c r="A218" s="109"/>
      <c r="B218" s="126"/>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c r="AD218" s="122"/>
    </row>
    <row r="219">
      <c r="A219" s="109"/>
      <c r="B219" s="126"/>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c r="AD219" s="122"/>
    </row>
    <row r="220">
      <c r="A220" s="109"/>
      <c r="B220" s="126"/>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c r="AD220" s="122"/>
    </row>
    <row r="221">
      <c r="A221" s="109"/>
      <c r="B221" s="126"/>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c r="AD221" s="122"/>
    </row>
    <row r="222">
      <c r="A222" s="109"/>
      <c r="B222" s="126"/>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row>
    <row r="223">
      <c r="A223" s="109"/>
      <c r="B223" s="126"/>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c r="AD223" s="122"/>
    </row>
    <row r="224">
      <c r="A224" s="109"/>
      <c r="B224" s="126"/>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c r="AD224" s="122"/>
    </row>
    <row r="225">
      <c r="A225" s="109"/>
      <c r="B225" s="126"/>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c r="AD225" s="122"/>
    </row>
    <row r="226">
      <c r="A226" s="109"/>
      <c r="B226" s="126"/>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c r="AD226" s="122"/>
    </row>
    <row r="227">
      <c r="A227" s="109"/>
      <c r="B227" s="126"/>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2"/>
    </row>
    <row r="228">
      <c r="A228" s="109"/>
      <c r="B228" s="126"/>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row>
    <row r="229">
      <c r="A229" s="109"/>
      <c r="B229" s="126"/>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c r="AD229" s="122"/>
    </row>
    <row r="230">
      <c r="A230" s="109"/>
      <c r="B230" s="126"/>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c r="AD230" s="122"/>
    </row>
    <row r="231">
      <c r="A231" s="109"/>
      <c r="B231" s="126"/>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c r="AD231" s="122"/>
    </row>
    <row r="232">
      <c r="A232" s="109"/>
      <c r="B232" s="126"/>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c r="AD232" s="122"/>
    </row>
    <row r="233">
      <c r="A233" s="109"/>
      <c r="B233" s="126"/>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c r="AD233" s="122"/>
    </row>
    <row r="234">
      <c r="A234" s="109"/>
      <c r="B234" s="126"/>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c r="AD234" s="122"/>
    </row>
    <row r="235">
      <c r="A235" s="109"/>
      <c r="B235" s="126"/>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c r="AD235" s="122"/>
    </row>
    <row r="236">
      <c r="A236" s="109"/>
      <c r="B236" s="126"/>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c r="AD236" s="122"/>
    </row>
    <row r="237">
      <c r="A237" s="109"/>
      <c r="B237" s="126"/>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c r="AD237" s="122"/>
    </row>
    <row r="238">
      <c r="A238" s="109"/>
      <c r="B238" s="126"/>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c r="AD238" s="122"/>
    </row>
    <row r="239">
      <c r="A239" s="109"/>
      <c r="B239" s="126"/>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c r="AD239" s="122"/>
    </row>
    <row r="240">
      <c r="A240" s="109"/>
      <c r="B240" s="126"/>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c r="AD240" s="122"/>
    </row>
    <row r="241">
      <c r="A241" s="109"/>
      <c r="B241" s="126"/>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c r="AD241" s="122"/>
    </row>
    <row r="242">
      <c r="A242" s="109"/>
      <c r="B242" s="126"/>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c r="AD242" s="122"/>
    </row>
    <row r="243">
      <c r="A243" s="109"/>
      <c r="B243" s="126"/>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c r="AD243" s="122"/>
    </row>
    <row r="244">
      <c r="A244" s="109"/>
      <c r="B244" s="126"/>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c r="AD244" s="122"/>
    </row>
    <row r="245">
      <c r="A245" s="109"/>
      <c r="B245" s="126"/>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c r="AD245" s="122"/>
    </row>
    <row r="246">
      <c r="A246" s="109"/>
      <c r="B246" s="126"/>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c r="AD246" s="122"/>
    </row>
    <row r="247">
      <c r="A247" s="109"/>
      <c r="B247" s="126"/>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c r="AD247" s="122"/>
    </row>
    <row r="248">
      <c r="A248" s="109"/>
      <c r="B248" s="126"/>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c r="AD248" s="122"/>
    </row>
    <row r="249">
      <c r="A249" s="109"/>
      <c r="B249" s="126"/>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c r="AD249" s="122"/>
    </row>
    <row r="250">
      <c r="A250" s="109"/>
      <c r="B250" s="126"/>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c r="AD250" s="122"/>
    </row>
    <row r="251">
      <c r="A251" s="109"/>
      <c r="B251" s="126"/>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c r="AD251" s="122"/>
    </row>
    <row r="252">
      <c r="A252" s="109"/>
      <c r="B252" s="126"/>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c r="AD252" s="122"/>
    </row>
    <row r="253">
      <c r="A253" s="109"/>
      <c r="B253" s="126"/>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c r="AD253" s="122"/>
    </row>
    <row r="254">
      <c r="A254" s="109"/>
      <c r="B254" s="126"/>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c r="AD254" s="122"/>
    </row>
    <row r="255">
      <c r="A255" s="109"/>
      <c r="B255" s="126"/>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c r="AD255" s="122"/>
    </row>
    <row r="256">
      <c r="A256" s="109"/>
      <c r="B256" s="126"/>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c r="AD256" s="122"/>
    </row>
    <row r="257">
      <c r="A257" s="109"/>
      <c r="B257" s="126"/>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c r="AD257" s="122"/>
    </row>
    <row r="258">
      <c r="A258" s="109"/>
      <c r="B258" s="126"/>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c r="AD258" s="122"/>
    </row>
    <row r="259">
      <c r="A259" s="109"/>
      <c r="B259" s="126"/>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c r="AD259" s="122"/>
    </row>
    <row r="260">
      <c r="A260" s="109"/>
      <c r="B260" s="126"/>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c r="AD260" s="122"/>
    </row>
    <row r="261">
      <c r="A261" s="109"/>
      <c r="B261" s="126"/>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c r="AD261" s="122"/>
    </row>
    <row r="262">
      <c r="A262" s="109"/>
      <c r="B262" s="126"/>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c r="AD262" s="122"/>
    </row>
    <row r="263">
      <c r="A263" s="109"/>
      <c r="B263" s="126"/>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c r="AD263" s="122"/>
    </row>
    <row r="264">
      <c r="A264" s="109"/>
      <c r="B264" s="126"/>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c r="AD264" s="122"/>
    </row>
    <row r="265">
      <c r="A265" s="109"/>
      <c r="B265" s="126"/>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c r="AD265" s="122"/>
    </row>
    <row r="266">
      <c r="A266" s="109"/>
      <c r="B266" s="126"/>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c r="AD266" s="122"/>
    </row>
    <row r="267">
      <c r="A267" s="109"/>
      <c r="B267" s="126"/>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2"/>
    </row>
    <row r="268">
      <c r="A268" s="109"/>
      <c r="B268" s="126"/>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c r="AD268" s="122"/>
    </row>
    <row r="269">
      <c r="A269" s="109"/>
      <c r="B269" s="126"/>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c r="AD269" s="122"/>
    </row>
    <row r="270">
      <c r="A270" s="109"/>
      <c r="B270" s="126"/>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c r="AD270" s="122"/>
    </row>
    <row r="271">
      <c r="A271" s="109"/>
      <c r="B271" s="126"/>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c r="AD271" s="122"/>
    </row>
    <row r="272">
      <c r="A272" s="109"/>
      <c r="B272" s="126"/>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c r="AD272" s="122"/>
    </row>
    <row r="273">
      <c r="A273" s="109"/>
      <c r="B273" s="126"/>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c r="AD273" s="122"/>
    </row>
    <row r="274">
      <c r="A274" s="109"/>
      <c r="B274" s="126"/>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2"/>
    </row>
    <row r="275">
      <c r="A275" s="109"/>
      <c r="B275" s="126"/>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c r="AD275" s="122"/>
    </row>
    <row r="276">
      <c r="A276" s="109"/>
      <c r="B276" s="126"/>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c r="AD276" s="122"/>
    </row>
    <row r="277">
      <c r="A277" s="109"/>
      <c r="B277" s="126"/>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c r="AD277" s="122"/>
    </row>
    <row r="278">
      <c r="A278" s="109"/>
      <c r="B278" s="126"/>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c r="AD278" s="122"/>
    </row>
    <row r="279">
      <c r="A279" s="109"/>
      <c r="B279" s="126"/>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c r="AD279" s="122"/>
    </row>
    <row r="280">
      <c r="A280" s="109"/>
      <c r="B280" s="126"/>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c r="AD280" s="122"/>
    </row>
    <row r="281">
      <c r="A281" s="109"/>
      <c r="B281" s="126"/>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c r="AD281" s="122"/>
    </row>
    <row r="282">
      <c r="A282" s="109"/>
      <c r="B282" s="126"/>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c r="AD282" s="122"/>
    </row>
    <row r="283">
      <c r="A283" s="109"/>
      <c r="B283" s="126"/>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c r="AD283" s="122"/>
    </row>
    <row r="284">
      <c r="A284" s="109"/>
      <c r="B284" s="126"/>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c r="AD284" s="122"/>
    </row>
    <row r="285">
      <c r="A285" s="109"/>
      <c r="B285" s="126"/>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c r="AD285" s="122"/>
    </row>
    <row r="286">
      <c r="A286" s="109"/>
      <c r="B286" s="126"/>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c r="AD286" s="122"/>
    </row>
    <row r="287">
      <c r="A287" s="109"/>
      <c r="B287" s="126"/>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c r="AD287" s="122"/>
    </row>
    <row r="288">
      <c r="A288" s="109"/>
      <c r="B288" s="126"/>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2"/>
    </row>
    <row r="289">
      <c r="A289" s="109"/>
      <c r="B289" s="126"/>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c r="AD289" s="122"/>
    </row>
    <row r="290">
      <c r="A290" s="109"/>
      <c r="B290" s="126"/>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c r="AD290" s="122"/>
    </row>
    <row r="291">
      <c r="A291" s="109"/>
      <c r="B291" s="126"/>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c r="AD291" s="122"/>
    </row>
    <row r="292">
      <c r="A292" s="109"/>
      <c r="B292" s="126"/>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2"/>
    </row>
    <row r="293">
      <c r="A293" s="109"/>
      <c r="B293" s="126"/>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row>
    <row r="294">
      <c r="A294" s="109"/>
      <c r="B294" s="126"/>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2"/>
    </row>
    <row r="295">
      <c r="A295" s="109"/>
      <c r="B295" s="126"/>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c r="AD295" s="122"/>
    </row>
    <row r="296">
      <c r="A296" s="109"/>
      <c r="B296" s="126"/>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c r="AD296" s="122"/>
    </row>
    <row r="297">
      <c r="A297" s="109"/>
      <c r="B297" s="126"/>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c r="AD297" s="122"/>
    </row>
    <row r="298">
      <c r="A298" s="109"/>
      <c r="B298" s="126"/>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c r="AD298" s="122"/>
    </row>
    <row r="299">
      <c r="A299" s="109"/>
      <c r="B299" s="126"/>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c r="AD299" s="122"/>
    </row>
    <row r="300">
      <c r="A300" s="109"/>
      <c r="B300" s="126"/>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c r="AD300" s="122"/>
    </row>
    <row r="301">
      <c r="A301" s="109"/>
      <c r="B301" s="126"/>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c r="AD301" s="122"/>
    </row>
    <row r="302">
      <c r="A302" s="109"/>
      <c r="B302" s="126"/>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c r="AD302" s="122"/>
    </row>
    <row r="303">
      <c r="A303" s="109"/>
      <c r="B303" s="126"/>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c r="AD303" s="122"/>
    </row>
    <row r="304">
      <c r="A304" s="109"/>
      <c r="B304" s="126"/>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c r="AD304" s="122"/>
    </row>
    <row r="305">
      <c r="A305" s="109"/>
      <c r="B305" s="126"/>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c r="AD305" s="122"/>
    </row>
    <row r="306">
      <c r="A306" s="109"/>
      <c r="B306" s="126"/>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c r="AD306" s="122"/>
    </row>
    <row r="307">
      <c r="A307" s="109"/>
      <c r="B307" s="126"/>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c r="AD307" s="122"/>
    </row>
    <row r="308">
      <c r="A308" s="109"/>
      <c r="B308" s="126"/>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c r="AD308" s="122"/>
    </row>
    <row r="309">
      <c r="A309" s="109"/>
      <c r="B309" s="126"/>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c r="AD309" s="122"/>
    </row>
    <row r="310">
      <c r="A310" s="109"/>
      <c r="B310" s="126"/>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c r="AD310" s="122"/>
    </row>
    <row r="311">
      <c r="A311" s="109"/>
      <c r="B311" s="126"/>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c r="AD311" s="122"/>
    </row>
    <row r="312">
      <c r="A312" s="109"/>
      <c r="B312" s="126"/>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c r="AD312" s="122"/>
    </row>
    <row r="313">
      <c r="A313" s="109"/>
      <c r="B313" s="126"/>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c r="AD313" s="122"/>
    </row>
    <row r="314">
      <c r="A314" s="109"/>
      <c r="B314" s="126"/>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c r="AD314" s="122"/>
    </row>
    <row r="315">
      <c r="A315" s="109"/>
      <c r="B315" s="126"/>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c r="AD315" s="122"/>
    </row>
    <row r="316">
      <c r="A316" s="109"/>
      <c r="B316" s="126"/>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c r="AD316" s="122"/>
    </row>
    <row r="317">
      <c r="A317" s="109"/>
      <c r="B317" s="126"/>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c r="AD317" s="122"/>
    </row>
    <row r="318">
      <c r="A318" s="109"/>
      <c r="B318" s="126"/>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c r="AD318" s="122"/>
    </row>
    <row r="319">
      <c r="A319" s="109"/>
      <c r="B319" s="126"/>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c r="AD319" s="122"/>
    </row>
    <row r="320">
      <c r="A320" s="109"/>
      <c r="B320" s="126"/>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c r="AD320" s="122"/>
    </row>
    <row r="321">
      <c r="A321" s="109"/>
      <c r="B321" s="126"/>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c r="AD321" s="122"/>
    </row>
    <row r="322">
      <c r="A322" s="109"/>
      <c r="B322" s="126"/>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c r="AD322" s="122"/>
    </row>
    <row r="323">
      <c r="A323" s="109"/>
      <c r="B323" s="126"/>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c r="AD323" s="122"/>
    </row>
    <row r="324">
      <c r="A324" s="109"/>
      <c r="B324" s="126"/>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c r="AD324" s="122"/>
    </row>
    <row r="325">
      <c r="A325" s="109"/>
      <c r="B325" s="126"/>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c r="AD325" s="122"/>
    </row>
    <row r="326">
      <c r="A326" s="109"/>
      <c r="B326" s="126"/>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c r="AD326" s="122"/>
    </row>
    <row r="327">
      <c r="A327" s="109"/>
      <c r="B327" s="126"/>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c r="AD327" s="122"/>
    </row>
    <row r="328">
      <c r="A328" s="109"/>
      <c r="B328" s="126"/>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c r="AD328" s="122"/>
    </row>
    <row r="329">
      <c r="A329" s="109"/>
      <c r="B329" s="126"/>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c r="AD329" s="122"/>
    </row>
    <row r="330">
      <c r="A330" s="109"/>
      <c r="B330" s="126"/>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c r="AD330" s="122"/>
    </row>
    <row r="331">
      <c r="A331" s="109"/>
      <c r="B331" s="126"/>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c r="AD331" s="122"/>
    </row>
    <row r="332">
      <c r="A332" s="109"/>
      <c r="B332" s="126"/>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c r="AD332" s="122"/>
    </row>
    <row r="333">
      <c r="A333" s="109"/>
      <c r="B333" s="126"/>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c r="AD333" s="122"/>
    </row>
    <row r="334">
      <c r="A334" s="109"/>
      <c r="B334" s="126"/>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c r="AD334" s="122"/>
    </row>
    <row r="335">
      <c r="A335" s="109"/>
      <c r="B335" s="126"/>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c r="AD335" s="122"/>
    </row>
    <row r="336">
      <c r="A336" s="109"/>
      <c r="B336" s="126"/>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c r="AD336" s="122"/>
    </row>
    <row r="337">
      <c r="A337" s="109"/>
      <c r="B337" s="126"/>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c r="AD337" s="122"/>
    </row>
    <row r="338">
      <c r="A338" s="109"/>
      <c r="B338" s="126"/>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c r="AD338" s="122"/>
    </row>
    <row r="339">
      <c r="A339" s="109"/>
      <c r="B339" s="126"/>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c r="AD339" s="122"/>
    </row>
    <row r="340">
      <c r="A340" s="109"/>
      <c r="B340" s="126"/>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c r="AD340" s="122"/>
    </row>
    <row r="341">
      <c r="A341" s="109"/>
      <c r="B341" s="126"/>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c r="AD341" s="122"/>
    </row>
    <row r="342">
      <c r="A342" s="109"/>
      <c r="B342" s="126"/>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c r="AD342" s="122"/>
    </row>
    <row r="343">
      <c r="A343" s="109"/>
      <c r="B343" s="126"/>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c r="AD343" s="122"/>
    </row>
    <row r="344">
      <c r="A344" s="109"/>
      <c r="B344" s="126"/>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c r="AD344" s="122"/>
    </row>
    <row r="345">
      <c r="A345" s="109"/>
      <c r="B345" s="126"/>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c r="AD345" s="122"/>
    </row>
    <row r="346">
      <c r="A346" s="109"/>
      <c r="B346" s="126"/>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c r="AD346" s="122"/>
    </row>
    <row r="347">
      <c r="A347" s="109"/>
      <c r="B347" s="126"/>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c r="AD347" s="122"/>
    </row>
    <row r="348">
      <c r="A348" s="109"/>
      <c r="B348" s="126"/>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c r="AD348" s="122"/>
    </row>
    <row r="349">
      <c r="A349" s="109"/>
      <c r="B349" s="126"/>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c r="AD349" s="122"/>
    </row>
    <row r="350">
      <c r="A350" s="109"/>
      <c r="B350" s="126"/>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c r="AD350" s="122"/>
    </row>
    <row r="351">
      <c r="A351" s="109"/>
      <c r="B351" s="126"/>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c r="AD351" s="122"/>
    </row>
    <row r="352">
      <c r="A352" s="109"/>
      <c r="B352" s="126"/>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c r="AD352" s="122"/>
    </row>
    <row r="353">
      <c r="A353" s="109"/>
      <c r="B353" s="126"/>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c r="AD353" s="122"/>
    </row>
    <row r="354">
      <c r="A354" s="109"/>
      <c r="B354" s="126"/>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c r="AD354" s="122"/>
    </row>
    <row r="355">
      <c r="A355" s="109"/>
      <c r="B355" s="126"/>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c r="AD355" s="122"/>
    </row>
    <row r="356">
      <c r="A356" s="109"/>
      <c r="B356" s="126"/>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c r="AD356" s="122"/>
    </row>
    <row r="357">
      <c r="A357" s="109"/>
      <c r="B357" s="126"/>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c r="AD357" s="122"/>
    </row>
    <row r="358">
      <c r="A358" s="109"/>
      <c r="B358" s="126"/>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c r="AD358" s="122"/>
    </row>
    <row r="359">
      <c r="A359" s="109"/>
      <c r="B359" s="126"/>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c r="AD359" s="122"/>
    </row>
    <row r="360">
      <c r="A360" s="109"/>
      <c r="B360" s="126"/>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c r="AD360" s="122"/>
    </row>
    <row r="361">
      <c r="A361" s="109"/>
      <c r="B361" s="126"/>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c r="AD361" s="122"/>
    </row>
    <row r="362">
      <c r="A362" s="109"/>
      <c r="B362" s="126"/>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c r="AD362" s="122"/>
    </row>
    <row r="363">
      <c r="A363" s="109"/>
      <c r="B363" s="126"/>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c r="AD363" s="122"/>
    </row>
    <row r="364">
      <c r="A364" s="109"/>
      <c r="B364" s="126"/>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2"/>
    </row>
    <row r="365">
      <c r="A365" s="109"/>
      <c r="B365" s="126"/>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c r="AD365" s="122"/>
    </row>
    <row r="366">
      <c r="A366" s="109"/>
      <c r="B366" s="126"/>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c r="AD366" s="122"/>
    </row>
    <row r="367">
      <c r="A367" s="109"/>
      <c r="B367" s="126"/>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c r="AD367" s="122"/>
    </row>
    <row r="368">
      <c r="A368" s="109"/>
      <c r="B368" s="126"/>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c r="AD368" s="122"/>
    </row>
    <row r="369">
      <c r="A369" s="109"/>
      <c r="B369" s="126"/>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2"/>
    </row>
    <row r="370">
      <c r="A370" s="109"/>
      <c r="B370" s="126"/>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c r="AD370" s="122"/>
    </row>
    <row r="371">
      <c r="A371" s="109"/>
      <c r="B371" s="126"/>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c r="AD371" s="122"/>
    </row>
    <row r="372">
      <c r="A372" s="109"/>
      <c r="B372" s="126"/>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c r="AD372" s="122"/>
    </row>
    <row r="373">
      <c r="A373" s="109"/>
      <c r="B373" s="126"/>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c r="AD373" s="122"/>
    </row>
    <row r="374">
      <c r="A374" s="109"/>
      <c r="B374" s="126"/>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c r="AD374" s="122"/>
    </row>
    <row r="375">
      <c r="A375" s="109"/>
      <c r="B375" s="126"/>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c r="AD375" s="122"/>
    </row>
    <row r="376">
      <c r="A376" s="109"/>
      <c r="B376" s="126"/>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c r="AD376" s="122"/>
    </row>
    <row r="377">
      <c r="A377" s="109"/>
      <c r="B377" s="126"/>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c r="AD377" s="122"/>
    </row>
    <row r="378">
      <c r="A378" s="109"/>
      <c r="B378" s="126"/>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c r="AD378" s="122"/>
    </row>
    <row r="379">
      <c r="A379" s="109"/>
      <c r="B379" s="126"/>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c r="AD379" s="122"/>
    </row>
    <row r="380">
      <c r="A380" s="109"/>
      <c r="B380" s="126"/>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c r="AD380" s="122"/>
    </row>
    <row r="381">
      <c r="A381" s="109"/>
      <c r="B381" s="126"/>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c r="AD381" s="122"/>
    </row>
    <row r="382">
      <c r="A382" s="109"/>
      <c r="B382" s="126"/>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c r="AD382" s="122"/>
    </row>
    <row r="383">
      <c r="A383" s="109"/>
      <c r="B383" s="126"/>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c r="AD383" s="122"/>
    </row>
    <row r="384">
      <c r="A384" s="109"/>
      <c r="B384" s="126"/>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c r="AD384" s="122"/>
    </row>
    <row r="385">
      <c r="A385" s="109"/>
      <c r="B385" s="126"/>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c r="AD385" s="122"/>
    </row>
    <row r="386">
      <c r="A386" s="109"/>
      <c r="B386" s="126"/>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c r="AD386" s="122"/>
    </row>
    <row r="387">
      <c r="A387" s="109"/>
      <c r="B387" s="126"/>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c r="AD387" s="122"/>
    </row>
    <row r="388">
      <c r="A388" s="109"/>
      <c r="B388" s="126"/>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c r="AD388" s="122"/>
    </row>
    <row r="389">
      <c r="A389" s="109"/>
      <c r="B389" s="126"/>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c r="AD389" s="122"/>
    </row>
    <row r="390">
      <c r="A390" s="109"/>
      <c r="B390" s="126"/>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2"/>
    </row>
    <row r="391">
      <c r="A391" s="109"/>
      <c r="B391" s="126"/>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c r="AD391" s="122"/>
    </row>
    <row r="392">
      <c r="A392" s="109"/>
      <c r="B392" s="126"/>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c r="AD392" s="122"/>
    </row>
    <row r="393">
      <c r="A393" s="109"/>
      <c r="B393" s="126"/>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c r="AD393" s="122"/>
    </row>
    <row r="394">
      <c r="A394" s="109"/>
      <c r="B394" s="126"/>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c r="AD394" s="122"/>
    </row>
    <row r="395">
      <c r="A395" s="109"/>
      <c r="B395" s="126"/>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c r="AD395" s="122"/>
    </row>
    <row r="396">
      <c r="A396" s="109"/>
      <c r="B396" s="126"/>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c r="AD396" s="122"/>
    </row>
    <row r="397">
      <c r="A397" s="109"/>
      <c r="B397" s="126"/>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c r="AD397" s="122"/>
    </row>
    <row r="398">
      <c r="A398" s="109"/>
      <c r="B398" s="126"/>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c r="AD398" s="122"/>
    </row>
    <row r="399">
      <c r="A399" s="109"/>
      <c r="B399" s="126"/>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c r="AD399" s="122"/>
    </row>
    <row r="400">
      <c r="A400" s="109"/>
      <c r="B400" s="126"/>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c r="AD400" s="122"/>
    </row>
    <row r="401">
      <c r="A401" s="109"/>
      <c r="B401" s="126"/>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c r="AD401" s="122"/>
    </row>
    <row r="402">
      <c r="A402" s="109"/>
      <c r="B402" s="126"/>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c r="AD402" s="122"/>
    </row>
    <row r="403">
      <c r="A403" s="109"/>
      <c r="B403" s="126"/>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c r="AD403" s="122"/>
    </row>
    <row r="404">
      <c r="A404" s="109"/>
      <c r="B404" s="126"/>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c r="AD404" s="122"/>
    </row>
    <row r="405">
      <c r="A405" s="109"/>
      <c r="B405" s="126"/>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c r="AD405" s="122"/>
    </row>
    <row r="406">
      <c r="A406" s="109"/>
      <c r="B406" s="126"/>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c r="AD406" s="122"/>
    </row>
    <row r="407">
      <c r="A407" s="109"/>
      <c r="B407" s="126"/>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c r="AD407" s="122"/>
    </row>
    <row r="408">
      <c r="A408" s="109"/>
      <c r="B408" s="126"/>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c r="AD408" s="122"/>
    </row>
    <row r="409">
      <c r="A409" s="109"/>
      <c r="B409" s="126"/>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2"/>
    </row>
    <row r="410">
      <c r="A410" s="109"/>
      <c r="B410" s="126"/>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c r="AD410" s="122"/>
    </row>
    <row r="411">
      <c r="A411" s="109"/>
      <c r="B411" s="126"/>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c r="AD411" s="122"/>
    </row>
    <row r="412">
      <c r="A412" s="109"/>
      <c r="B412" s="126"/>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c r="AD412" s="122"/>
    </row>
    <row r="413">
      <c r="A413" s="109"/>
      <c r="B413" s="126"/>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c r="AD413" s="122"/>
    </row>
    <row r="414">
      <c r="A414" s="109"/>
      <c r="B414" s="126"/>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2"/>
    </row>
    <row r="415">
      <c r="A415" s="109"/>
      <c r="B415" s="126"/>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c r="AD415" s="122"/>
    </row>
    <row r="416">
      <c r="A416" s="109"/>
      <c r="B416" s="126"/>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c r="AD416" s="122"/>
    </row>
    <row r="417">
      <c r="A417" s="109"/>
      <c r="B417" s="126"/>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c r="AD417" s="122"/>
    </row>
    <row r="418">
      <c r="A418" s="109"/>
      <c r="B418" s="126"/>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c r="AD418" s="122"/>
    </row>
    <row r="419">
      <c r="A419" s="109"/>
      <c r="B419" s="126"/>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c r="AD419" s="122"/>
    </row>
    <row r="420">
      <c r="A420" s="109"/>
      <c r="B420" s="126"/>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c r="AD420" s="122"/>
    </row>
    <row r="421">
      <c r="A421" s="109"/>
      <c r="B421" s="126"/>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c r="AD421" s="122"/>
    </row>
    <row r="422">
      <c r="A422" s="109"/>
      <c r="B422" s="126"/>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c r="AD422" s="122"/>
    </row>
    <row r="423">
      <c r="A423" s="109"/>
      <c r="B423" s="126"/>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c r="AD423" s="122"/>
    </row>
    <row r="424">
      <c r="A424" s="109"/>
      <c r="B424" s="126"/>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c r="AD424" s="122"/>
    </row>
    <row r="425">
      <c r="A425" s="109"/>
      <c r="B425" s="126"/>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c r="AD425" s="122"/>
    </row>
    <row r="426">
      <c r="A426" s="109"/>
      <c r="B426" s="126"/>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c r="AD426" s="122"/>
    </row>
    <row r="427">
      <c r="A427" s="109"/>
      <c r="B427" s="126"/>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c r="AD427" s="122"/>
    </row>
    <row r="428">
      <c r="A428" s="109"/>
      <c r="B428" s="126"/>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c r="AD428" s="122"/>
    </row>
    <row r="429">
      <c r="A429" s="109"/>
      <c r="B429" s="126"/>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c r="AD429" s="122"/>
    </row>
    <row r="430">
      <c r="A430" s="109"/>
      <c r="B430" s="126"/>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c r="AD430" s="122"/>
    </row>
    <row r="431">
      <c r="A431" s="109"/>
      <c r="B431" s="126"/>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c r="AD431" s="122"/>
    </row>
    <row r="432">
      <c r="A432" s="109"/>
      <c r="B432" s="126"/>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c r="AD432" s="122"/>
    </row>
    <row r="433">
      <c r="A433" s="109"/>
      <c r="B433" s="126"/>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c r="AD433" s="122"/>
    </row>
    <row r="434">
      <c r="A434" s="109"/>
      <c r="B434" s="126"/>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2"/>
    </row>
    <row r="435">
      <c r="A435" s="109"/>
      <c r="B435" s="126"/>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c r="AD435" s="122"/>
    </row>
    <row r="436">
      <c r="A436" s="109"/>
      <c r="B436" s="126"/>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c r="AD436" s="122"/>
    </row>
    <row r="437">
      <c r="A437" s="109"/>
      <c r="B437" s="126"/>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c r="AD437" s="122"/>
    </row>
    <row r="438">
      <c r="A438" s="109"/>
      <c r="B438" s="126"/>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c r="AD438" s="122"/>
    </row>
    <row r="439">
      <c r="A439" s="109"/>
      <c r="B439" s="126"/>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c r="AD439" s="122"/>
    </row>
    <row r="440">
      <c r="A440" s="109"/>
      <c r="B440" s="126"/>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c r="AD440" s="122"/>
    </row>
    <row r="441">
      <c r="A441" s="109"/>
      <c r="B441" s="126"/>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c r="AD441" s="122"/>
    </row>
    <row r="442">
      <c r="A442" s="109"/>
      <c r="B442" s="126"/>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c r="AD442" s="122"/>
    </row>
    <row r="443">
      <c r="A443" s="109"/>
      <c r="B443" s="126"/>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c r="AD443" s="122"/>
    </row>
    <row r="444">
      <c r="A444" s="109"/>
      <c r="B444" s="126"/>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c r="AD444" s="122"/>
    </row>
    <row r="445">
      <c r="A445" s="109"/>
      <c r="B445" s="126"/>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c r="AD445" s="122"/>
    </row>
    <row r="446">
      <c r="A446" s="109"/>
      <c r="B446" s="126"/>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c r="AD446" s="122"/>
    </row>
    <row r="447">
      <c r="A447" s="109"/>
      <c r="B447" s="126"/>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c r="AD447" s="122"/>
    </row>
    <row r="448">
      <c r="A448" s="109"/>
      <c r="B448" s="126"/>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c r="AD448" s="122"/>
    </row>
    <row r="449">
      <c r="A449" s="109"/>
      <c r="B449" s="126"/>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c r="AD449" s="122"/>
    </row>
    <row r="450">
      <c r="A450" s="109"/>
      <c r="B450" s="126"/>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c r="AD450" s="122"/>
    </row>
    <row r="451">
      <c r="A451" s="109"/>
      <c r="B451" s="126"/>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c r="AD451" s="122"/>
    </row>
    <row r="452">
      <c r="A452" s="109"/>
      <c r="B452" s="126"/>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c r="AD452" s="122"/>
    </row>
    <row r="453">
      <c r="A453" s="109"/>
      <c r="B453" s="126"/>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c r="AD453" s="122"/>
    </row>
    <row r="454">
      <c r="A454" s="109"/>
      <c r="B454" s="126"/>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c r="AD454" s="122"/>
    </row>
    <row r="455">
      <c r="A455" s="109"/>
      <c r="B455" s="126"/>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c r="AD455" s="122"/>
    </row>
    <row r="456">
      <c r="A456" s="109"/>
      <c r="B456" s="126"/>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c r="AD456" s="122"/>
    </row>
    <row r="457">
      <c r="A457" s="109"/>
      <c r="B457" s="126"/>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c r="AD457" s="122"/>
    </row>
    <row r="458">
      <c r="A458" s="109"/>
      <c r="B458" s="126"/>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c r="AD458" s="122"/>
    </row>
    <row r="459">
      <c r="A459" s="109"/>
      <c r="B459" s="126"/>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c r="AD459" s="122"/>
    </row>
    <row r="460">
      <c r="A460" s="109"/>
      <c r="B460" s="126"/>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c r="AD460" s="122"/>
    </row>
    <row r="461">
      <c r="A461" s="109"/>
      <c r="B461" s="126"/>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c r="AD461" s="122"/>
    </row>
    <row r="462">
      <c r="A462" s="109"/>
      <c r="B462" s="126"/>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c r="AD462" s="122"/>
    </row>
    <row r="463">
      <c r="A463" s="109"/>
      <c r="B463" s="126"/>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c r="AD463" s="122"/>
    </row>
    <row r="464">
      <c r="A464" s="109"/>
      <c r="B464" s="126"/>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c r="AD464" s="122"/>
    </row>
    <row r="465">
      <c r="A465" s="109"/>
      <c r="B465" s="126"/>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c r="AD465" s="122"/>
    </row>
    <row r="466">
      <c r="A466" s="109"/>
      <c r="B466" s="126"/>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c r="AD466" s="122"/>
    </row>
    <row r="467">
      <c r="A467" s="109"/>
      <c r="B467" s="126"/>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2"/>
    </row>
    <row r="468">
      <c r="A468" s="109"/>
      <c r="B468" s="126"/>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c r="AD468" s="122"/>
    </row>
    <row r="469">
      <c r="A469" s="109"/>
      <c r="B469" s="126"/>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2"/>
    </row>
    <row r="470">
      <c r="A470" s="109"/>
      <c r="B470" s="126"/>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c r="AD470" s="122"/>
    </row>
    <row r="471">
      <c r="A471" s="109"/>
      <c r="B471" s="126"/>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c r="AD471" s="122"/>
    </row>
    <row r="472">
      <c r="A472" s="109"/>
      <c r="B472" s="126"/>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2"/>
    </row>
    <row r="473">
      <c r="A473" s="109"/>
      <c r="B473" s="126"/>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c r="AD473" s="122"/>
    </row>
    <row r="474">
      <c r="A474" s="109"/>
      <c r="B474" s="126"/>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2"/>
    </row>
    <row r="475">
      <c r="A475" s="109"/>
      <c r="B475" s="126"/>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c r="AD475" s="122"/>
    </row>
    <row r="476">
      <c r="A476" s="109"/>
      <c r="B476" s="126"/>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c r="AD476" s="122"/>
    </row>
    <row r="477">
      <c r="A477" s="109"/>
      <c r="B477" s="126"/>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2"/>
    </row>
    <row r="478">
      <c r="A478" s="109"/>
      <c r="B478" s="126"/>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c r="AD478" s="122"/>
    </row>
    <row r="479">
      <c r="A479" s="109"/>
      <c r="B479" s="126"/>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2"/>
    </row>
    <row r="480">
      <c r="A480" s="109"/>
      <c r="B480" s="126"/>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c r="AD480" s="122"/>
    </row>
    <row r="481">
      <c r="A481" s="109"/>
      <c r="B481" s="126"/>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c r="AD481" s="122"/>
    </row>
    <row r="482">
      <c r="A482" s="109"/>
      <c r="B482" s="126"/>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2"/>
    </row>
    <row r="483">
      <c r="A483" s="109"/>
      <c r="B483" s="126"/>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c r="AD483" s="122"/>
    </row>
    <row r="484">
      <c r="A484" s="109"/>
      <c r="B484" s="126"/>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c r="AD484" s="122"/>
    </row>
    <row r="485">
      <c r="A485" s="109"/>
      <c r="B485" s="126"/>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c r="AD485" s="122"/>
    </row>
    <row r="486">
      <c r="A486" s="109"/>
      <c r="B486" s="126"/>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row>
    <row r="487">
      <c r="A487" s="109"/>
      <c r="B487" s="126"/>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2"/>
    </row>
    <row r="488">
      <c r="A488" s="109"/>
      <c r="B488" s="126"/>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c r="AD488" s="122"/>
    </row>
    <row r="489">
      <c r="A489" s="109"/>
      <c r="B489" s="126"/>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c r="AD489" s="122"/>
    </row>
    <row r="490">
      <c r="A490" s="109"/>
      <c r="B490" s="126"/>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c r="AD490" s="122"/>
    </row>
    <row r="491">
      <c r="A491" s="109"/>
      <c r="B491" s="126"/>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c r="AD491" s="122"/>
    </row>
    <row r="492">
      <c r="A492" s="109"/>
      <c r="B492" s="126"/>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2"/>
    </row>
    <row r="493">
      <c r="A493" s="109"/>
      <c r="B493" s="126"/>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c r="AD493" s="122"/>
    </row>
    <row r="494">
      <c r="A494" s="109"/>
      <c r="B494" s="126"/>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c r="AD494" s="122"/>
    </row>
    <row r="495">
      <c r="A495" s="109"/>
      <c r="B495" s="126"/>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c r="AD495" s="122"/>
    </row>
    <row r="496">
      <c r="A496" s="109"/>
      <c r="B496" s="126"/>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2"/>
    </row>
    <row r="497">
      <c r="A497" s="109"/>
      <c r="B497" s="126"/>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2"/>
    </row>
    <row r="498">
      <c r="A498" s="109"/>
      <c r="B498" s="126"/>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c r="AD498" s="122"/>
    </row>
    <row r="499">
      <c r="A499" s="109"/>
      <c r="B499" s="126"/>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c r="AD499" s="122"/>
    </row>
    <row r="500">
      <c r="A500" s="109"/>
      <c r="B500" s="126"/>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2"/>
    </row>
    <row r="501">
      <c r="A501" s="109"/>
      <c r="B501" s="126"/>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c r="AD501" s="122"/>
    </row>
    <row r="502">
      <c r="A502" s="109"/>
      <c r="B502" s="126"/>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2"/>
    </row>
    <row r="503">
      <c r="A503" s="109"/>
      <c r="B503" s="126"/>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c r="AD503" s="122"/>
    </row>
    <row r="504">
      <c r="A504" s="109"/>
      <c r="B504" s="126"/>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c r="AD504" s="122"/>
    </row>
    <row r="505">
      <c r="A505" s="109"/>
      <c r="B505" s="126"/>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c r="AD505" s="122"/>
    </row>
    <row r="506">
      <c r="A506" s="109"/>
      <c r="B506" s="126"/>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c r="AD506" s="122"/>
    </row>
    <row r="507">
      <c r="A507" s="109"/>
      <c r="B507" s="126"/>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2"/>
    </row>
    <row r="508">
      <c r="A508" s="109"/>
      <c r="B508" s="126"/>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c r="AD508" s="122"/>
    </row>
    <row r="509">
      <c r="A509" s="109"/>
      <c r="B509" s="126"/>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2"/>
    </row>
    <row r="510">
      <c r="A510" s="109"/>
      <c r="B510" s="126"/>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c r="AD510" s="122"/>
    </row>
    <row r="511">
      <c r="A511" s="109"/>
      <c r="B511" s="126"/>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c r="AD511" s="122"/>
    </row>
    <row r="512">
      <c r="A512" s="109"/>
      <c r="B512" s="126"/>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2"/>
    </row>
    <row r="513">
      <c r="A513" s="109"/>
      <c r="B513" s="126"/>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c r="AD513" s="122"/>
    </row>
    <row r="514">
      <c r="A514" s="109"/>
      <c r="B514" s="126"/>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c r="AD514" s="122"/>
    </row>
    <row r="515">
      <c r="A515" s="109"/>
      <c r="B515" s="126"/>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c r="AD515" s="122"/>
    </row>
    <row r="516">
      <c r="A516" s="109"/>
      <c r="B516" s="126"/>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c r="AD516" s="122"/>
    </row>
    <row r="517">
      <c r="A517" s="109"/>
      <c r="B517" s="126"/>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2"/>
    </row>
    <row r="518">
      <c r="A518" s="109"/>
      <c r="B518" s="126"/>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c r="AD518" s="122"/>
    </row>
    <row r="519">
      <c r="A519" s="109"/>
      <c r="B519" s="126"/>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c r="AD519" s="122"/>
    </row>
    <row r="520">
      <c r="A520" s="109"/>
      <c r="B520" s="126"/>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c r="AD520" s="122"/>
    </row>
    <row r="521">
      <c r="A521" s="109"/>
      <c r="B521" s="126"/>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c r="AD521" s="122"/>
    </row>
    <row r="522">
      <c r="A522" s="109"/>
      <c r="B522" s="126"/>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2"/>
    </row>
    <row r="523">
      <c r="A523" s="109"/>
      <c r="B523" s="126"/>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c r="AD523" s="122"/>
    </row>
    <row r="524">
      <c r="A524" s="109"/>
      <c r="B524" s="126"/>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c r="AD524" s="122"/>
    </row>
    <row r="525">
      <c r="A525" s="109"/>
      <c r="B525" s="126"/>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c r="AD525" s="122"/>
    </row>
    <row r="526">
      <c r="A526" s="109"/>
      <c r="B526" s="126"/>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c r="AD526" s="122"/>
    </row>
    <row r="527">
      <c r="A527" s="109"/>
      <c r="B527" s="126"/>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c r="AD527" s="122"/>
    </row>
    <row r="528">
      <c r="A528" s="109"/>
      <c r="B528" s="126"/>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c r="AD528" s="122"/>
    </row>
    <row r="529">
      <c r="A529" s="109"/>
      <c r="B529" s="126"/>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c r="AD529" s="122"/>
    </row>
    <row r="530">
      <c r="A530" s="109"/>
      <c r="B530" s="126"/>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c r="AD530" s="122"/>
    </row>
    <row r="531">
      <c r="A531" s="109"/>
      <c r="B531" s="126"/>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c r="AD531" s="122"/>
    </row>
    <row r="532">
      <c r="A532" s="109"/>
      <c r="B532" s="126"/>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c r="AD532" s="122"/>
    </row>
    <row r="533">
      <c r="A533" s="109"/>
      <c r="B533" s="126"/>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c r="AD533" s="122"/>
    </row>
    <row r="534">
      <c r="A534" s="109"/>
      <c r="B534" s="126"/>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c r="AD534" s="122"/>
    </row>
    <row r="535">
      <c r="A535" s="109"/>
      <c r="B535" s="126"/>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c r="AD535" s="122"/>
    </row>
    <row r="536">
      <c r="A536" s="109"/>
      <c r="B536" s="126"/>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c r="AD536" s="122"/>
    </row>
    <row r="537">
      <c r="A537" s="109"/>
      <c r="B537" s="126"/>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c r="AD537" s="122"/>
    </row>
    <row r="538">
      <c r="A538" s="109"/>
      <c r="B538" s="126"/>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c r="AD538" s="122"/>
    </row>
    <row r="539">
      <c r="A539" s="109"/>
      <c r="B539" s="126"/>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2"/>
    </row>
    <row r="540">
      <c r="A540" s="109"/>
      <c r="B540" s="126"/>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c r="AD540" s="122"/>
    </row>
    <row r="541">
      <c r="A541" s="109"/>
      <c r="B541" s="126"/>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2"/>
    </row>
    <row r="542">
      <c r="A542" s="109"/>
      <c r="B542" s="126"/>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c r="AD542" s="122"/>
    </row>
    <row r="543">
      <c r="A543" s="109"/>
      <c r="B543" s="126"/>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2"/>
    </row>
    <row r="544">
      <c r="A544" s="109"/>
      <c r="B544" s="126"/>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c r="AD544" s="122"/>
    </row>
    <row r="545">
      <c r="A545" s="109"/>
      <c r="B545" s="126"/>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c r="AD545" s="122"/>
    </row>
    <row r="546">
      <c r="A546" s="109"/>
      <c r="B546" s="126"/>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c r="AD546" s="122"/>
    </row>
    <row r="547">
      <c r="A547" s="109"/>
      <c r="B547" s="126"/>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c r="AD547" s="122"/>
    </row>
    <row r="548">
      <c r="A548" s="109"/>
      <c r="B548" s="126"/>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c r="AD548" s="122"/>
    </row>
    <row r="549">
      <c r="A549" s="109"/>
      <c r="B549" s="126"/>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c r="AD549" s="122"/>
    </row>
    <row r="550">
      <c r="A550" s="109"/>
      <c r="B550" s="126"/>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c r="AD550" s="122"/>
    </row>
    <row r="551">
      <c r="A551" s="109"/>
      <c r="B551" s="126"/>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c r="AD551" s="122"/>
    </row>
    <row r="552">
      <c r="A552" s="109"/>
      <c r="B552" s="126"/>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c r="AD552" s="122"/>
    </row>
    <row r="553">
      <c r="A553" s="109"/>
      <c r="B553" s="126"/>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c r="AD553" s="122"/>
    </row>
    <row r="554">
      <c r="A554" s="109"/>
      <c r="B554" s="126"/>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c r="AD554" s="122"/>
    </row>
    <row r="555">
      <c r="A555" s="109"/>
      <c r="B555" s="126"/>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c r="AD555" s="122"/>
    </row>
    <row r="556">
      <c r="A556" s="109"/>
      <c r="B556" s="126"/>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c r="AD556" s="122"/>
    </row>
    <row r="557">
      <c r="A557" s="109"/>
      <c r="B557" s="126"/>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c r="AD557" s="122"/>
    </row>
    <row r="558">
      <c r="A558" s="109"/>
      <c r="B558" s="126"/>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c r="AD558" s="122"/>
    </row>
    <row r="559">
      <c r="A559" s="109"/>
      <c r="B559" s="126"/>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c r="AD559" s="122"/>
    </row>
    <row r="560">
      <c r="A560" s="109"/>
      <c r="B560" s="126"/>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c r="AD560" s="122"/>
    </row>
    <row r="561">
      <c r="A561" s="109"/>
      <c r="B561" s="126"/>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c r="AD561" s="122"/>
    </row>
    <row r="562">
      <c r="A562" s="109"/>
      <c r="B562" s="126"/>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c r="AD562" s="122"/>
    </row>
    <row r="563">
      <c r="A563" s="109"/>
      <c r="B563" s="126"/>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c r="AD563" s="122"/>
    </row>
    <row r="564">
      <c r="A564" s="109"/>
      <c r="B564" s="126"/>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c r="AD564" s="122"/>
    </row>
    <row r="565">
      <c r="A565" s="109"/>
      <c r="B565" s="126"/>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c r="AD565" s="122"/>
    </row>
    <row r="566">
      <c r="A566" s="109"/>
      <c r="B566" s="126"/>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c r="AD566" s="122"/>
    </row>
    <row r="567">
      <c r="A567" s="109"/>
      <c r="B567" s="126"/>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c r="AD567" s="122"/>
    </row>
    <row r="568">
      <c r="A568" s="109"/>
      <c r="B568" s="126"/>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c r="AD568" s="122"/>
    </row>
    <row r="569">
      <c r="A569" s="109"/>
      <c r="B569" s="126"/>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c r="AD569" s="122"/>
    </row>
    <row r="570">
      <c r="A570" s="109"/>
      <c r="B570" s="126"/>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c r="AD570" s="122"/>
    </row>
    <row r="571">
      <c r="A571" s="109"/>
      <c r="B571" s="126"/>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c r="AD571" s="122"/>
    </row>
    <row r="572">
      <c r="A572" s="109"/>
      <c r="B572" s="126"/>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c r="AD572" s="122"/>
    </row>
    <row r="573">
      <c r="A573" s="109"/>
      <c r="B573" s="126"/>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c r="AD573" s="122"/>
    </row>
    <row r="574">
      <c r="A574" s="109"/>
      <c r="B574" s="126"/>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c r="AD574" s="122"/>
    </row>
    <row r="575">
      <c r="A575" s="109"/>
      <c r="B575" s="126"/>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2"/>
    </row>
    <row r="576">
      <c r="A576" s="109"/>
      <c r="B576" s="126"/>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c r="AD576" s="122"/>
    </row>
    <row r="577">
      <c r="A577" s="109"/>
      <c r="B577" s="126"/>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c r="AD577" s="122"/>
    </row>
    <row r="578">
      <c r="A578" s="109"/>
      <c r="B578" s="126"/>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c r="AD578" s="122"/>
    </row>
    <row r="579">
      <c r="A579" s="109"/>
      <c r="B579" s="126"/>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c r="AD579" s="122"/>
    </row>
    <row r="580">
      <c r="A580" s="109"/>
      <c r="B580" s="126"/>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c r="AD580" s="122"/>
    </row>
    <row r="581">
      <c r="A581" s="109"/>
      <c r="B581" s="126"/>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c r="AD581" s="122"/>
    </row>
    <row r="582">
      <c r="A582" s="109"/>
      <c r="B582" s="126"/>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c r="AD582" s="122"/>
    </row>
    <row r="583">
      <c r="A583" s="109"/>
      <c r="B583" s="126"/>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c r="AD583" s="122"/>
    </row>
    <row r="584">
      <c r="A584" s="109"/>
      <c r="B584" s="126"/>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c r="AD584" s="122"/>
    </row>
    <row r="585">
      <c r="A585" s="109"/>
      <c r="B585" s="126"/>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c r="AD585" s="122"/>
    </row>
    <row r="586">
      <c r="A586" s="109"/>
      <c r="B586" s="126"/>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c r="AD586" s="122"/>
    </row>
    <row r="587">
      <c r="A587" s="109"/>
      <c r="B587" s="126"/>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row>
    <row r="588">
      <c r="A588" s="109"/>
      <c r="B588" s="126"/>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row>
    <row r="589">
      <c r="A589" s="109"/>
      <c r="B589" s="126"/>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c r="AD589" s="122"/>
    </row>
    <row r="590">
      <c r="A590" s="109"/>
      <c r="B590" s="126"/>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c r="AD590" s="122"/>
    </row>
    <row r="591">
      <c r="A591" s="109"/>
      <c r="B591" s="126"/>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c r="AD591" s="122"/>
    </row>
    <row r="592">
      <c r="A592" s="109"/>
      <c r="B592" s="126"/>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c r="AD592" s="122"/>
    </row>
    <row r="593">
      <c r="A593" s="109"/>
      <c r="B593" s="126"/>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c r="AD593" s="122"/>
    </row>
    <row r="594">
      <c r="A594" s="109"/>
      <c r="B594" s="126"/>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2"/>
    </row>
    <row r="595">
      <c r="A595" s="109"/>
      <c r="B595" s="126"/>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c r="AD595" s="122"/>
    </row>
    <row r="596">
      <c r="A596" s="109"/>
      <c r="B596" s="126"/>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2"/>
    </row>
    <row r="597">
      <c r="A597" s="109"/>
      <c r="B597" s="126"/>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c r="AD597" s="122"/>
    </row>
    <row r="598">
      <c r="A598" s="109"/>
      <c r="B598" s="126"/>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c r="AD598" s="122"/>
    </row>
    <row r="599">
      <c r="A599" s="109"/>
      <c r="B599" s="126"/>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c r="AD599" s="122"/>
    </row>
    <row r="600">
      <c r="A600" s="109"/>
      <c r="B600" s="126"/>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c r="AD600" s="122"/>
    </row>
    <row r="601">
      <c r="A601" s="109"/>
      <c r="B601" s="126"/>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c r="AD601" s="122"/>
    </row>
    <row r="602">
      <c r="A602" s="109"/>
      <c r="B602" s="126"/>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row>
    <row r="603">
      <c r="A603" s="109"/>
      <c r="B603" s="126"/>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row>
    <row r="604">
      <c r="A604" s="109"/>
      <c r="B604" s="126"/>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c r="AD604" s="122"/>
    </row>
    <row r="605">
      <c r="A605" s="109"/>
      <c r="B605" s="126"/>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c r="AD605" s="122"/>
    </row>
    <row r="606">
      <c r="A606" s="109"/>
      <c r="B606" s="126"/>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c r="AD606" s="122"/>
    </row>
    <row r="607">
      <c r="A607" s="109"/>
      <c r="B607" s="126"/>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c r="AD607" s="122"/>
    </row>
    <row r="608">
      <c r="A608" s="109"/>
      <c r="B608" s="126"/>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c r="AD608" s="122"/>
    </row>
    <row r="609">
      <c r="A609" s="109"/>
      <c r="B609" s="126"/>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c r="AD609" s="122"/>
    </row>
    <row r="610">
      <c r="A610" s="109"/>
      <c r="B610" s="126"/>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c r="AD610" s="122"/>
    </row>
    <row r="611">
      <c r="A611" s="109"/>
      <c r="B611" s="126"/>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c r="AD611" s="122"/>
    </row>
    <row r="612">
      <c r="A612" s="109"/>
      <c r="B612" s="126"/>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c r="AD612" s="122"/>
    </row>
    <row r="613">
      <c r="A613" s="109"/>
      <c r="B613" s="126"/>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c r="AD613" s="122"/>
    </row>
    <row r="614">
      <c r="A614" s="109"/>
      <c r="B614" s="126"/>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c r="AD614" s="122"/>
    </row>
    <row r="615">
      <c r="A615" s="109"/>
      <c r="B615" s="126"/>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c r="AD615" s="122"/>
    </row>
    <row r="616">
      <c r="A616" s="109"/>
      <c r="B616" s="126"/>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c r="AD616" s="122"/>
    </row>
    <row r="617">
      <c r="A617" s="109"/>
      <c r="B617" s="126"/>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row>
    <row r="618">
      <c r="A618" s="109"/>
      <c r="B618" s="126"/>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c r="AD618" s="122"/>
    </row>
    <row r="619">
      <c r="A619" s="109"/>
      <c r="B619" s="126"/>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c r="AD619" s="122"/>
    </row>
    <row r="620">
      <c r="A620" s="109"/>
      <c r="B620" s="126"/>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c r="AD620" s="122"/>
    </row>
    <row r="621">
      <c r="A621" s="109"/>
      <c r="B621" s="126"/>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c r="AD621" s="122"/>
    </row>
    <row r="622">
      <c r="A622" s="109"/>
      <c r="B622" s="126"/>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c r="AD622" s="122"/>
    </row>
    <row r="623">
      <c r="A623" s="109"/>
      <c r="B623" s="126"/>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c r="AD623" s="122"/>
    </row>
    <row r="624">
      <c r="A624" s="109"/>
      <c r="B624" s="126"/>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c r="AD624" s="122"/>
    </row>
    <row r="625">
      <c r="A625" s="109"/>
      <c r="B625" s="126"/>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c r="AD625" s="122"/>
    </row>
    <row r="626">
      <c r="A626" s="109"/>
      <c r="B626" s="126"/>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c r="AD626" s="122"/>
    </row>
    <row r="627">
      <c r="A627" s="109"/>
      <c r="B627" s="126"/>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c r="AD627" s="122"/>
    </row>
    <row r="628">
      <c r="A628" s="109"/>
      <c r="B628" s="126"/>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c r="AD628" s="122"/>
    </row>
    <row r="629">
      <c r="A629" s="109"/>
      <c r="B629" s="126"/>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c r="AD629" s="122"/>
    </row>
    <row r="630">
      <c r="A630" s="109"/>
      <c r="B630" s="126"/>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c r="AD630" s="122"/>
    </row>
    <row r="631">
      <c r="A631" s="109"/>
      <c r="B631" s="126"/>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c r="AD631" s="122"/>
    </row>
    <row r="632">
      <c r="A632" s="109"/>
      <c r="B632" s="126"/>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c r="AD632" s="122"/>
    </row>
    <row r="633">
      <c r="A633" s="109"/>
      <c r="B633" s="126"/>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c r="AD633" s="122"/>
    </row>
    <row r="634">
      <c r="A634" s="109"/>
      <c r="B634" s="126"/>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c r="AD634" s="122"/>
    </row>
    <row r="635">
      <c r="A635" s="109"/>
      <c r="B635" s="126"/>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c r="AD635" s="122"/>
    </row>
    <row r="636">
      <c r="A636" s="109"/>
      <c r="B636" s="126"/>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c r="AD636" s="122"/>
    </row>
    <row r="637">
      <c r="A637" s="109"/>
      <c r="B637" s="126"/>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c r="AD637" s="122"/>
    </row>
    <row r="638">
      <c r="A638" s="109"/>
      <c r="B638" s="126"/>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c r="AD638" s="122"/>
    </row>
    <row r="639">
      <c r="A639" s="109"/>
      <c r="B639" s="126"/>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c r="AD639" s="122"/>
    </row>
    <row r="640">
      <c r="A640" s="109"/>
      <c r="B640" s="126"/>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c r="AD640" s="122"/>
    </row>
    <row r="641">
      <c r="A641" s="109"/>
      <c r="B641" s="126"/>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c r="AD641" s="122"/>
    </row>
    <row r="642">
      <c r="A642" s="109"/>
      <c r="B642" s="126"/>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c r="AD642" s="122"/>
    </row>
    <row r="643">
      <c r="A643" s="109"/>
      <c r="B643" s="126"/>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c r="AD643" s="122"/>
    </row>
    <row r="644">
      <c r="A644" s="109"/>
      <c r="B644" s="126"/>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c r="AD644" s="122"/>
    </row>
    <row r="645">
      <c r="A645" s="109"/>
      <c r="B645" s="126"/>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c r="AD645" s="122"/>
    </row>
    <row r="646">
      <c r="A646" s="109"/>
      <c r="B646" s="126"/>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c r="AD646" s="122"/>
    </row>
    <row r="647">
      <c r="A647" s="109"/>
      <c r="B647" s="126"/>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c r="AD647" s="122"/>
    </row>
    <row r="648">
      <c r="A648" s="109"/>
      <c r="B648" s="126"/>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2"/>
    </row>
    <row r="649">
      <c r="A649" s="109"/>
      <c r="B649" s="126"/>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c r="AD649" s="122"/>
    </row>
    <row r="650">
      <c r="A650" s="109"/>
      <c r="B650" s="126"/>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c r="AD650" s="122"/>
    </row>
    <row r="651">
      <c r="A651" s="109"/>
      <c r="B651" s="126"/>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c r="AD651" s="122"/>
    </row>
    <row r="652">
      <c r="A652" s="109"/>
      <c r="B652" s="126"/>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c r="AD652" s="122"/>
    </row>
    <row r="653">
      <c r="A653" s="109"/>
      <c r="B653" s="126"/>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c r="AD653" s="122"/>
    </row>
    <row r="654">
      <c r="A654" s="109"/>
      <c r="B654" s="126"/>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c r="AD654" s="122"/>
    </row>
    <row r="655">
      <c r="A655" s="109"/>
      <c r="B655" s="126"/>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c r="AD655" s="122"/>
    </row>
    <row r="656">
      <c r="A656" s="109"/>
      <c r="B656" s="126"/>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c r="AD656" s="122"/>
    </row>
    <row r="657">
      <c r="A657" s="109"/>
      <c r="B657" s="126"/>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c r="AD657" s="122"/>
    </row>
    <row r="658">
      <c r="A658" s="109"/>
      <c r="B658" s="126"/>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c r="AD658" s="122"/>
    </row>
    <row r="659">
      <c r="A659" s="109"/>
      <c r="B659" s="126"/>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c r="AD659" s="122"/>
    </row>
    <row r="660">
      <c r="A660" s="109"/>
      <c r="B660" s="126"/>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c r="AD660" s="122"/>
    </row>
    <row r="661">
      <c r="A661" s="109"/>
      <c r="B661" s="126"/>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c r="AD661" s="122"/>
    </row>
    <row r="662">
      <c r="A662" s="109"/>
      <c r="B662" s="126"/>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c r="AD662" s="122"/>
    </row>
    <row r="663">
      <c r="A663" s="109"/>
      <c r="B663" s="126"/>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c r="AD663" s="122"/>
    </row>
    <row r="664">
      <c r="A664" s="109"/>
      <c r="B664" s="126"/>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c r="AD664" s="122"/>
    </row>
    <row r="665">
      <c r="A665" s="109"/>
      <c r="B665" s="126"/>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c r="AD665" s="122"/>
    </row>
    <row r="666">
      <c r="A666" s="109"/>
      <c r="B666" s="126"/>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c r="AD666" s="122"/>
    </row>
    <row r="667">
      <c r="A667" s="109"/>
      <c r="B667" s="126"/>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c r="AD667" s="122"/>
    </row>
    <row r="668">
      <c r="A668" s="109"/>
      <c r="B668" s="126"/>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row>
    <row r="669">
      <c r="A669" s="109"/>
      <c r="B669" s="126"/>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c r="AD669" s="122"/>
    </row>
    <row r="670">
      <c r="A670" s="109"/>
      <c r="B670" s="126"/>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2"/>
    </row>
    <row r="671">
      <c r="A671" s="109"/>
      <c r="B671" s="126"/>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c r="AD671" s="122"/>
    </row>
    <row r="672">
      <c r="A672" s="109"/>
      <c r="B672" s="126"/>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row>
    <row r="673">
      <c r="A673" s="109"/>
      <c r="B673" s="126"/>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row>
    <row r="674">
      <c r="A674" s="109"/>
      <c r="B674" s="126"/>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row>
    <row r="675">
      <c r="A675" s="109"/>
      <c r="B675" s="126"/>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2"/>
    </row>
    <row r="676">
      <c r="A676" s="109"/>
      <c r="B676" s="126"/>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2"/>
    </row>
    <row r="677">
      <c r="A677" s="109"/>
      <c r="B677" s="126"/>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c r="AD677" s="122"/>
    </row>
    <row r="678">
      <c r="A678" s="109"/>
      <c r="B678" s="126"/>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row>
    <row r="679">
      <c r="A679" s="109"/>
      <c r="B679" s="126"/>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c r="AD679" s="122"/>
    </row>
    <row r="680">
      <c r="A680" s="109"/>
      <c r="B680" s="126"/>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2"/>
    </row>
    <row r="681">
      <c r="A681" s="109"/>
      <c r="B681" s="126"/>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c r="AD681" s="122"/>
    </row>
    <row r="682">
      <c r="A682" s="109"/>
      <c r="B682" s="126"/>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c r="AD682" s="122"/>
    </row>
    <row r="683">
      <c r="A683" s="109"/>
      <c r="B683" s="126"/>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row>
    <row r="684">
      <c r="A684" s="109"/>
      <c r="B684" s="126"/>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c r="AD684" s="122"/>
    </row>
    <row r="685">
      <c r="A685" s="109"/>
      <c r="B685" s="126"/>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c r="AD685" s="122"/>
    </row>
    <row r="686">
      <c r="A686" s="109"/>
      <c r="B686" s="126"/>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c r="AD686" s="122"/>
    </row>
    <row r="687">
      <c r="A687" s="109"/>
      <c r="B687" s="126"/>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row>
    <row r="688">
      <c r="A688" s="109"/>
      <c r="B688" s="126"/>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row>
    <row r="689">
      <c r="A689" s="109"/>
      <c r="B689" s="126"/>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row>
    <row r="690">
      <c r="A690" s="109"/>
      <c r="B690" s="126"/>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c r="AD690" s="122"/>
    </row>
    <row r="691">
      <c r="A691" s="109"/>
      <c r="B691" s="126"/>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c r="AD691" s="122"/>
    </row>
    <row r="692">
      <c r="A692" s="109"/>
      <c r="B692" s="126"/>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c r="AD692" s="122"/>
    </row>
    <row r="693">
      <c r="A693" s="109"/>
      <c r="B693" s="126"/>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row>
    <row r="694">
      <c r="A694" s="109"/>
      <c r="B694" s="126"/>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c r="AD694" s="122"/>
    </row>
    <row r="695">
      <c r="A695" s="109"/>
      <c r="B695" s="126"/>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c r="AD695" s="122"/>
    </row>
    <row r="696">
      <c r="A696" s="109"/>
      <c r="B696" s="126"/>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c r="AD696" s="122"/>
    </row>
    <row r="697">
      <c r="A697" s="109"/>
      <c r="B697" s="126"/>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c r="AD697" s="122"/>
    </row>
    <row r="698">
      <c r="A698" s="109"/>
      <c r="B698" s="126"/>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c r="AD698" s="122"/>
    </row>
    <row r="699">
      <c r="A699" s="109"/>
      <c r="B699" s="126"/>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c r="AD699" s="122"/>
    </row>
    <row r="700">
      <c r="A700" s="109"/>
      <c r="B700" s="126"/>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c r="AD700" s="122"/>
    </row>
    <row r="701">
      <c r="A701" s="109"/>
      <c r="B701" s="126"/>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c r="AD701" s="122"/>
    </row>
    <row r="702">
      <c r="A702" s="109"/>
      <c r="B702" s="126"/>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c r="AD702" s="122"/>
    </row>
    <row r="703">
      <c r="A703" s="109"/>
      <c r="B703" s="126"/>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c r="AD703" s="122"/>
    </row>
    <row r="704">
      <c r="A704" s="109"/>
      <c r="B704" s="126"/>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c r="AD704" s="122"/>
    </row>
    <row r="705">
      <c r="A705" s="109"/>
      <c r="B705" s="126"/>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c r="AD705" s="122"/>
    </row>
    <row r="706">
      <c r="A706" s="109"/>
      <c r="B706" s="126"/>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c r="AD706" s="122"/>
    </row>
    <row r="707">
      <c r="A707" s="109"/>
      <c r="B707" s="126"/>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c r="AD707" s="122"/>
    </row>
    <row r="708">
      <c r="A708" s="109"/>
      <c r="B708" s="126"/>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c r="AD708" s="122"/>
    </row>
    <row r="709">
      <c r="A709" s="109"/>
      <c r="B709" s="126"/>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c r="AD709" s="122"/>
    </row>
    <row r="710">
      <c r="A710" s="109"/>
      <c r="B710" s="126"/>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c r="AD710" s="122"/>
    </row>
    <row r="711">
      <c r="A711" s="109"/>
      <c r="B711" s="126"/>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c r="AD711" s="122"/>
    </row>
    <row r="712">
      <c r="A712" s="109"/>
      <c r="B712" s="126"/>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c r="AD712" s="122"/>
    </row>
    <row r="713">
      <c r="A713" s="109"/>
      <c r="B713" s="126"/>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c r="AD713" s="122"/>
    </row>
    <row r="714">
      <c r="A714" s="109"/>
      <c r="B714" s="126"/>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c r="AD714" s="122"/>
    </row>
    <row r="715">
      <c r="A715" s="109"/>
      <c r="B715" s="126"/>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c r="AD715" s="122"/>
    </row>
    <row r="716">
      <c r="A716" s="109"/>
      <c r="B716" s="126"/>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c r="AD716" s="122"/>
    </row>
    <row r="717">
      <c r="A717" s="109"/>
      <c r="B717" s="126"/>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c r="AD717" s="122"/>
    </row>
    <row r="718">
      <c r="A718" s="109"/>
      <c r="B718" s="126"/>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c r="AD718" s="122"/>
    </row>
    <row r="719">
      <c r="A719" s="109"/>
      <c r="B719" s="126"/>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c r="AD719" s="122"/>
    </row>
    <row r="720">
      <c r="A720" s="109"/>
      <c r="B720" s="126"/>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c r="AD720" s="122"/>
    </row>
    <row r="721">
      <c r="A721" s="109"/>
      <c r="B721" s="126"/>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c r="AD721" s="122"/>
    </row>
    <row r="722">
      <c r="A722" s="109"/>
      <c r="B722" s="126"/>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c r="AD722" s="122"/>
    </row>
    <row r="723">
      <c r="A723" s="109"/>
      <c r="B723" s="126"/>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c r="AD723" s="122"/>
    </row>
    <row r="724">
      <c r="A724" s="109"/>
      <c r="B724" s="126"/>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c r="AD724" s="122"/>
    </row>
    <row r="725">
      <c r="A725" s="109"/>
      <c r="B725" s="126"/>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c r="AD725" s="122"/>
    </row>
    <row r="726">
      <c r="A726" s="109"/>
      <c r="B726" s="126"/>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c r="AD726" s="122"/>
    </row>
    <row r="727">
      <c r="A727" s="109"/>
      <c r="B727" s="126"/>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c r="AD727" s="122"/>
    </row>
    <row r="728">
      <c r="A728" s="109"/>
      <c r="B728" s="126"/>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c r="AD728" s="122"/>
    </row>
    <row r="729">
      <c r="A729" s="109"/>
      <c r="B729" s="126"/>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c r="AD729" s="122"/>
    </row>
    <row r="730">
      <c r="A730" s="109"/>
      <c r="B730" s="126"/>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c r="AD730" s="122"/>
    </row>
    <row r="731">
      <c r="A731" s="109"/>
      <c r="B731" s="126"/>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c r="AD731" s="122"/>
    </row>
    <row r="732">
      <c r="A732" s="109"/>
      <c r="B732" s="126"/>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c r="AD732" s="122"/>
    </row>
    <row r="733">
      <c r="A733" s="109"/>
      <c r="B733" s="126"/>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c r="AD733" s="122"/>
    </row>
    <row r="734">
      <c r="A734" s="109"/>
      <c r="B734" s="126"/>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c r="AD734" s="122"/>
    </row>
    <row r="735">
      <c r="A735" s="109"/>
      <c r="B735" s="126"/>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c r="AD735" s="122"/>
    </row>
    <row r="736">
      <c r="A736" s="109"/>
      <c r="B736" s="126"/>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c r="AD736" s="122"/>
    </row>
    <row r="737">
      <c r="A737" s="109"/>
      <c r="B737" s="126"/>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c r="AD737" s="122"/>
    </row>
    <row r="738">
      <c r="A738" s="109"/>
      <c r="B738" s="126"/>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c r="AD738" s="122"/>
    </row>
    <row r="739">
      <c r="A739" s="109"/>
      <c r="B739" s="126"/>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c r="AD739" s="122"/>
    </row>
    <row r="740">
      <c r="A740" s="109"/>
      <c r="B740" s="126"/>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c r="AD740" s="122"/>
    </row>
    <row r="741">
      <c r="A741" s="109"/>
      <c r="B741" s="126"/>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c r="AD741" s="122"/>
    </row>
    <row r="742">
      <c r="A742" s="109"/>
      <c r="B742" s="126"/>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c r="AD742" s="122"/>
    </row>
    <row r="743">
      <c r="A743" s="109"/>
      <c r="B743" s="126"/>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c r="AD743" s="122"/>
    </row>
    <row r="744">
      <c r="A744" s="109"/>
      <c r="B744" s="126"/>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c r="AD744" s="122"/>
    </row>
    <row r="745">
      <c r="A745" s="109"/>
      <c r="B745" s="126"/>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c r="AD745" s="122"/>
    </row>
    <row r="746">
      <c r="A746" s="109"/>
      <c r="B746" s="126"/>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c r="AD746" s="122"/>
    </row>
    <row r="747">
      <c r="A747" s="109"/>
      <c r="B747" s="126"/>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c r="AD747" s="122"/>
    </row>
    <row r="748">
      <c r="A748" s="109"/>
      <c r="B748" s="126"/>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c r="AD748" s="122"/>
    </row>
    <row r="749">
      <c r="A749" s="109"/>
      <c r="B749" s="126"/>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c r="AD749" s="122"/>
    </row>
    <row r="750">
      <c r="A750" s="109"/>
      <c r="B750" s="126"/>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c r="AD750" s="122"/>
    </row>
    <row r="751">
      <c r="A751" s="109"/>
      <c r="B751" s="126"/>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c r="AD751" s="122"/>
    </row>
    <row r="752">
      <c r="A752" s="109"/>
      <c r="B752" s="126"/>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2"/>
    </row>
    <row r="753">
      <c r="A753" s="109"/>
      <c r="B753" s="126"/>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c r="AD753" s="122"/>
    </row>
    <row r="754">
      <c r="A754" s="109"/>
      <c r="B754" s="126"/>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c r="AD754" s="122"/>
    </row>
    <row r="755">
      <c r="A755" s="109"/>
      <c r="B755" s="126"/>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c r="AD755" s="122"/>
    </row>
    <row r="756">
      <c r="A756" s="109"/>
      <c r="B756" s="126"/>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c r="AD756" s="122"/>
    </row>
    <row r="757">
      <c r="A757" s="109"/>
      <c r="B757" s="126"/>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c r="AD757" s="122"/>
    </row>
    <row r="758">
      <c r="A758" s="109"/>
      <c r="B758" s="126"/>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c r="AD758" s="122"/>
    </row>
    <row r="759">
      <c r="A759" s="109"/>
      <c r="B759" s="126"/>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c r="AD759" s="122"/>
    </row>
    <row r="760">
      <c r="A760" s="109"/>
      <c r="B760" s="126"/>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c r="AD760" s="122"/>
    </row>
    <row r="761">
      <c r="A761" s="109"/>
      <c r="B761" s="126"/>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c r="AD761" s="122"/>
    </row>
    <row r="762">
      <c r="A762" s="109"/>
      <c r="B762" s="126"/>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c r="AD762" s="122"/>
    </row>
    <row r="763">
      <c r="A763" s="109"/>
      <c r="B763" s="126"/>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c r="AD763" s="122"/>
    </row>
    <row r="764">
      <c r="A764" s="109"/>
      <c r="B764" s="126"/>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c r="AD764" s="122"/>
    </row>
    <row r="765">
      <c r="A765" s="109"/>
      <c r="B765" s="126"/>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c r="AD765" s="122"/>
    </row>
    <row r="766">
      <c r="A766" s="109"/>
      <c r="B766" s="126"/>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c r="AD766" s="122"/>
    </row>
    <row r="767">
      <c r="A767" s="109"/>
      <c r="B767" s="126"/>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c r="AD767" s="122"/>
    </row>
    <row r="768">
      <c r="A768" s="109"/>
      <c r="B768" s="126"/>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c r="AD768" s="122"/>
    </row>
    <row r="769">
      <c r="A769" s="109"/>
      <c r="B769" s="126"/>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c r="AD769" s="122"/>
    </row>
    <row r="770">
      <c r="A770" s="109"/>
      <c r="B770" s="126"/>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c r="AD770" s="122"/>
    </row>
    <row r="771">
      <c r="A771" s="109"/>
      <c r="B771" s="126"/>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c r="AD771" s="122"/>
    </row>
    <row r="772">
      <c r="A772" s="109"/>
      <c r="B772" s="126"/>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c r="AD772" s="122"/>
    </row>
    <row r="773">
      <c r="A773" s="109"/>
      <c r="B773" s="126"/>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c r="AD773" s="122"/>
    </row>
    <row r="774">
      <c r="A774" s="109"/>
      <c r="B774" s="126"/>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c r="AD774" s="122"/>
    </row>
    <row r="775">
      <c r="A775" s="109"/>
      <c r="B775" s="126"/>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c r="AD775" s="122"/>
    </row>
    <row r="776">
      <c r="A776" s="109"/>
      <c r="B776" s="126"/>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c r="AD776" s="122"/>
    </row>
    <row r="777">
      <c r="A777" s="109"/>
      <c r="B777" s="126"/>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c r="AD777" s="122"/>
    </row>
    <row r="778">
      <c r="A778" s="109"/>
      <c r="B778" s="126"/>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c r="AD778" s="122"/>
    </row>
    <row r="779">
      <c r="A779" s="109"/>
      <c r="B779" s="126"/>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c r="AD779" s="122"/>
    </row>
    <row r="780">
      <c r="A780" s="109"/>
      <c r="B780" s="126"/>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c r="AD780" s="122"/>
    </row>
    <row r="781">
      <c r="A781" s="109"/>
      <c r="B781" s="126"/>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c r="AD781" s="122"/>
    </row>
    <row r="782">
      <c r="A782" s="109"/>
      <c r="B782" s="126"/>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c r="AD782" s="122"/>
    </row>
    <row r="783">
      <c r="A783" s="109"/>
      <c r="B783" s="126"/>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c r="AD783" s="122"/>
    </row>
    <row r="784">
      <c r="A784" s="109"/>
      <c r="B784" s="126"/>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c r="AD784" s="122"/>
    </row>
    <row r="785">
      <c r="A785" s="109"/>
      <c r="B785" s="126"/>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c r="AD785" s="122"/>
    </row>
    <row r="786">
      <c r="A786" s="109"/>
      <c r="B786" s="126"/>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c r="AD786" s="122"/>
    </row>
    <row r="787">
      <c r="A787" s="109"/>
      <c r="B787" s="126"/>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c r="AD787" s="122"/>
    </row>
    <row r="788">
      <c r="A788" s="109"/>
      <c r="B788" s="126"/>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c r="AD788" s="122"/>
    </row>
    <row r="789">
      <c r="A789" s="109"/>
      <c r="B789" s="126"/>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c r="AD789" s="122"/>
    </row>
    <row r="790">
      <c r="A790" s="109"/>
      <c r="B790" s="126"/>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c r="AD790" s="122"/>
    </row>
    <row r="791">
      <c r="A791" s="109"/>
      <c r="B791" s="126"/>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c r="AD791" s="122"/>
    </row>
    <row r="792">
      <c r="A792" s="109"/>
      <c r="B792" s="126"/>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c r="AD792" s="122"/>
    </row>
    <row r="793">
      <c r="A793" s="109"/>
      <c r="B793" s="126"/>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c r="AD793" s="122"/>
    </row>
    <row r="794">
      <c r="A794" s="109"/>
      <c r="B794" s="126"/>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c r="AD794" s="122"/>
    </row>
    <row r="795">
      <c r="A795" s="109"/>
      <c r="B795" s="126"/>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c r="AD795" s="122"/>
    </row>
    <row r="796">
      <c r="A796" s="109"/>
      <c r="B796" s="126"/>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c r="AD796" s="122"/>
    </row>
    <row r="797">
      <c r="A797" s="109"/>
      <c r="B797" s="126"/>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c r="AD797" s="122"/>
    </row>
    <row r="798">
      <c r="A798" s="109"/>
      <c r="B798" s="126"/>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c r="AD798" s="122"/>
    </row>
    <row r="799">
      <c r="A799" s="109"/>
      <c r="B799" s="126"/>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c r="AD799" s="122"/>
    </row>
    <row r="800">
      <c r="A800" s="109"/>
      <c r="B800" s="126"/>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c r="AD800" s="122"/>
    </row>
    <row r="801">
      <c r="A801" s="109"/>
      <c r="B801" s="126"/>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c r="AD801" s="122"/>
    </row>
    <row r="802">
      <c r="A802" s="109"/>
      <c r="B802" s="126"/>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c r="AD802" s="122"/>
    </row>
    <row r="803">
      <c r="A803" s="109"/>
      <c r="B803" s="126"/>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c r="AD803" s="122"/>
    </row>
    <row r="804">
      <c r="A804" s="109"/>
      <c r="B804" s="126"/>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c r="AD804" s="122"/>
    </row>
    <row r="805">
      <c r="A805" s="109"/>
      <c r="B805" s="126"/>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c r="AD805" s="122"/>
    </row>
    <row r="806">
      <c r="A806" s="109"/>
      <c r="B806" s="126"/>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c r="AD806" s="122"/>
    </row>
    <row r="807">
      <c r="A807" s="109"/>
      <c r="B807" s="126"/>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c r="AD807" s="122"/>
    </row>
    <row r="808">
      <c r="A808" s="109"/>
      <c r="B808" s="126"/>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c r="AD808" s="122"/>
    </row>
    <row r="809">
      <c r="A809" s="109"/>
      <c r="B809" s="126"/>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c r="AD809" s="122"/>
    </row>
    <row r="810">
      <c r="A810" s="109"/>
      <c r="B810" s="126"/>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c r="AD810" s="122"/>
    </row>
    <row r="811">
      <c r="A811" s="109"/>
      <c r="B811" s="126"/>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c r="AD811" s="122"/>
    </row>
    <row r="812">
      <c r="A812" s="109"/>
      <c r="B812" s="126"/>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c r="AD812" s="122"/>
    </row>
    <row r="813">
      <c r="A813" s="109"/>
      <c r="B813" s="126"/>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c r="AD813" s="122"/>
    </row>
    <row r="814">
      <c r="A814" s="109"/>
      <c r="B814" s="126"/>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c r="AD814" s="122"/>
    </row>
    <row r="815">
      <c r="A815" s="109"/>
      <c r="B815" s="126"/>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c r="AD815" s="122"/>
    </row>
    <row r="816">
      <c r="A816" s="109"/>
      <c r="B816" s="126"/>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c r="AD816" s="122"/>
    </row>
    <row r="817">
      <c r="A817" s="109"/>
      <c r="B817" s="126"/>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c r="AD817" s="122"/>
    </row>
    <row r="818">
      <c r="A818" s="109"/>
      <c r="B818" s="126"/>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c r="AD818" s="122"/>
    </row>
    <row r="819">
      <c r="A819" s="109"/>
      <c r="B819" s="126"/>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c r="AD819" s="122"/>
    </row>
    <row r="820">
      <c r="A820" s="109"/>
      <c r="B820" s="126"/>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c r="AD820" s="122"/>
    </row>
    <row r="821">
      <c r="A821" s="109"/>
      <c r="B821" s="126"/>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c r="AD821" s="122"/>
    </row>
    <row r="822">
      <c r="A822" s="109"/>
      <c r="B822" s="126"/>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c r="AD822" s="122"/>
    </row>
    <row r="823">
      <c r="A823" s="109"/>
      <c r="B823" s="126"/>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c r="AD823" s="122"/>
    </row>
    <row r="824">
      <c r="A824" s="109"/>
      <c r="B824" s="126"/>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c r="AD824" s="122"/>
    </row>
    <row r="825">
      <c r="A825" s="109"/>
      <c r="B825" s="126"/>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c r="AD825" s="122"/>
    </row>
    <row r="826">
      <c r="A826" s="109"/>
      <c r="B826" s="126"/>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c r="AD826" s="122"/>
    </row>
    <row r="827">
      <c r="A827" s="109"/>
      <c r="B827" s="126"/>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c r="AD827" s="122"/>
    </row>
    <row r="828">
      <c r="A828" s="109"/>
      <c r="B828" s="126"/>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c r="AD828" s="122"/>
    </row>
    <row r="829">
      <c r="A829" s="109"/>
      <c r="B829" s="126"/>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c r="AD829" s="122"/>
    </row>
    <row r="830">
      <c r="A830" s="109"/>
      <c r="B830" s="126"/>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c r="AD830" s="122"/>
    </row>
    <row r="831">
      <c r="A831" s="109"/>
      <c r="B831" s="126"/>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c r="AD831" s="122"/>
    </row>
    <row r="832">
      <c r="A832" s="109"/>
      <c r="B832" s="126"/>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c r="AD832" s="122"/>
    </row>
    <row r="833">
      <c r="A833" s="109"/>
      <c r="B833" s="126"/>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c r="AD833" s="122"/>
    </row>
    <row r="834">
      <c r="A834" s="109"/>
      <c r="B834" s="126"/>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c r="AD834" s="122"/>
    </row>
    <row r="835">
      <c r="A835" s="109"/>
      <c r="B835" s="126"/>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c r="AD835" s="122"/>
    </row>
    <row r="836">
      <c r="A836" s="109"/>
      <c r="B836" s="126"/>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c r="AD836" s="122"/>
    </row>
    <row r="837">
      <c r="A837" s="109"/>
      <c r="B837" s="126"/>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c r="AD837" s="122"/>
    </row>
    <row r="838">
      <c r="A838" s="109"/>
      <c r="B838" s="126"/>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c r="AD838" s="122"/>
    </row>
    <row r="839">
      <c r="A839" s="109"/>
      <c r="B839" s="126"/>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c r="AD839" s="122"/>
    </row>
    <row r="840">
      <c r="A840" s="109"/>
      <c r="B840" s="126"/>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c r="AD840" s="122"/>
    </row>
    <row r="841">
      <c r="A841" s="109"/>
      <c r="B841" s="126"/>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c r="AD841" s="122"/>
    </row>
    <row r="842">
      <c r="A842" s="109"/>
      <c r="B842" s="126"/>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c r="AD842" s="122"/>
    </row>
    <row r="843">
      <c r="A843" s="109"/>
      <c r="B843" s="126"/>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c r="AD843" s="122"/>
    </row>
    <row r="844">
      <c r="A844" s="109"/>
      <c r="B844" s="126"/>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c r="AD844" s="122"/>
    </row>
    <row r="845">
      <c r="A845" s="109"/>
      <c r="B845" s="126"/>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c r="AD845" s="122"/>
    </row>
    <row r="846">
      <c r="A846" s="109"/>
      <c r="B846" s="126"/>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c r="AD846" s="122"/>
    </row>
    <row r="847">
      <c r="A847" s="109"/>
      <c r="B847" s="126"/>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c r="AD847" s="122"/>
    </row>
    <row r="848">
      <c r="A848" s="109"/>
      <c r="B848" s="126"/>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c r="AD848" s="122"/>
    </row>
    <row r="849">
      <c r="A849" s="109"/>
      <c r="B849" s="126"/>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c r="AD849" s="122"/>
    </row>
    <row r="850">
      <c r="A850" s="109"/>
      <c r="B850" s="126"/>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c r="AD850" s="122"/>
    </row>
    <row r="851">
      <c r="A851" s="109"/>
      <c r="B851" s="126"/>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c r="AD851" s="122"/>
    </row>
    <row r="852">
      <c r="A852" s="109"/>
      <c r="B852" s="126"/>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c r="AD852" s="122"/>
    </row>
    <row r="853">
      <c r="A853" s="109"/>
      <c r="B853" s="126"/>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c r="AD853" s="122"/>
    </row>
    <row r="854">
      <c r="A854" s="109"/>
      <c r="B854" s="126"/>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c r="AD854" s="122"/>
    </row>
    <row r="855">
      <c r="A855" s="109"/>
      <c r="B855" s="126"/>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c r="AD855" s="122"/>
    </row>
    <row r="856">
      <c r="A856" s="109"/>
      <c r="B856" s="126"/>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c r="AD856" s="122"/>
    </row>
    <row r="857">
      <c r="A857" s="109"/>
      <c r="B857" s="126"/>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c r="AD857" s="122"/>
    </row>
    <row r="858">
      <c r="A858" s="109"/>
      <c r="B858" s="126"/>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c r="AD858" s="122"/>
    </row>
    <row r="859">
      <c r="A859" s="109"/>
      <c r="B859" s="126"/>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c r="AD859" s="122"/>
    </row>
    <row r="860">
      <c r="A860" s="109"/>
      <c r="B860" s="126"/>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c r="AD860" s="122"/>
    </row>
    <row r="861">
      <c r="A861" s="109"/>
      <c r="B861" s="126"/>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c r="AD861" s="122"/>
    </row>
    <row r="862">
      <c r="A862" s="109"/>
      <c r="B862" s="126"/>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c r="AD862" s="122"/>
    </row>
    <row r="863">
      <c r="A863" s="109"/>
      <c r="B863" s="126"/>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c r="AD863" s="122"/>
    </row>
    <row r="864">
      <c r="A864" s="109"/>
      <c r="B864" s="126"/>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c r="AD864" s="122"/>
    </row>
    <row r="865">
      <c r="A865" s="109"/>
      <c r="B865" s="126"/>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c r="AD865" s="122"/>
    </row>
    <row r="866">
      <c r="A866" s="109"/>
      <c r="B866" s="126"/>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c r="AD866" s="122"/>
    </row>
    <row r="867">
      <c r="A867" s="109"/>
      <c r="B867" s="126"/>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c r="AD867" s="122"/>
    </row>
    <row r="868">
      <c r="A868" s="109"/>
      <c r="B868" s="126"/>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c r="AD868" s="122"/>
    </row>
    <row r="869">
      <c r="A869" s="109"/>
      <c r="B869" s="126"/>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c r="AD869" s="122"/>
    </row>
    <row r="870">
      <c r="A870" s="109"/>
      <c r="B870" s="126"/>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c r="AD870" s="122"/>
    </row>
    <row r="871">
      <c r="A871" s="109"/>
      <c r="B871" s="126"/>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c r="AD871" s="122"/>
    </row>
    <row r="872">
      <c r="A872" s="109"/>
      <c r="B872" s="126"/>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c r="AD872" s="122"/>
    </row>
    <row r="873">
      <c r="A873" s="109"/>
      <c r="B873" s="126"/>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c r="AD873" s="122"/>
    </row>
    <row r="874">
      <c r="A874" s="109"/>
      <c r="B874" s="126"/>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c r="AD874" s="122"/>
    </row>
    <row r="875">
      <c r="A875" s="109"/>
      <c r="B875" s="126"/>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c r="AD875" s="122"/>
    </row>
    <row r="876">
      <c r="A876" s="109"/>
      <c r="B876" s="126"/>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c r="AD876" s="122"/>
    </row>
    <row r="877">
      <c r="A877" s="109"/>
      <c r="B877" s="126"/>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c r="AD877" s="122"/>
    </row>
    <row r="878">
      <c r="A878" s="109"/>
      <c r="B878" s="126"/>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c r="AD878" s="122"/>
    </row>
    <row r="879">
      <c r="A879" s="109"/>
      <c r="B879" s="126"/>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c r="AD879" s="122"/>
    </row>
    <row r="880">
      <c r="A880" s="109"/>
      <c r="B880" s="126"/>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c r="AD880" s="122"/>
    </row>
    <row r="881">
      <c r="A881" s="109"/>
      <c r="B881" s="126"/>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c r="AD881" s="122"/>
    </row>
    <row r="882">
      <c r="A882" s="109"/>
      <c r="B882" s="126"/>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c r="AD882" s="122"/>
    </row>
    <row r="883">
      <c r="A883" s="109"/>
      <c r="B883" s="126"/>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c r="AD883" s="122"/>
    </row>
    <row r="884">
      <c r="A884" s="109"/>
      <c r="B884" s="126"/>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c r="AD884" s="122"/>
    </row>
    <row r="885">
      <c r="A885" s="109"/>
      <c r="B885" s="126"/>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c r="AD885" s="122"/>
    </row>
    <row r="886">
      <c r="A886" s="109"/>
      <c r="B886" s="126"/>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c r="AD886" s="122"/>
    </row>
    <row r="887">
      <c r="A887" s="109"/>
      <c r="B887" s="126"/>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c r="AD887" s="122"/>
    </row>
    <row r="888">
      <c r="A888" s="109"/>
      <c r="B888" s="126"/>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c r="AD888" s="122"/>
    </row>
    <row r="889">
      <c r="A889" s="109"/>
      <c r="B889" s="126"/>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c r="AD889" s="122"/>
    </row>
    <row r="890">
      <c r="A890" s="109"/>
      <c r="B890" s="126"/>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c r="AD890" s="122"/>
    </row>
    <row r="891">
      <c r="A891" s="109"/>
      <c r="B891" s="126"/>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c r="AD891" s="122"/>
    </row>
    <row r="892">
      <c r="A892" s="109"/>
      <c r="B892" s="126"/>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c r="AD892" s="122"/>
    </row>
    <row r="893">
      <c r="A893" s="109"/>
      <c r="B893" s="126"/>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c r="AD893" s="122"/>
    </row>
    <row r="894">
      <c r="A894" s="109"/>
      <c r="B894" s="126"/>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c r="AD894" s="122"/>
    </row>
    <row r="895">
      <c r="A895" s="109"/>
      <c r="B895" s="126"/>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c r="AD895" s="122"/>
    </row>
    <row r="896">
      <c r="A896" s="109"/>
      <c r="B896" s="126"/>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c r="AD896" s="122"/>
    </row>
    <row r="897">
      <c r="A897" s="109"/>
      <c r="B897" s="126"/>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c r="AD897" s="122"/>
    </row>
    <row r="898">
      <c r="A898" s="109"/>
      <c r="B898" s="126"/>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c r="AD898" s="122"/>
    </row>
    <row r="899">
      <c r="A899" s="109"/>
      <c r="B899" s="126"/>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c r="AD899" s="122"/>
    </row>
    <row r="900">
      <c r="A900" s="109"/>
      <c r="B900" s="126"/>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c r="AD900" s="122"/>
    </row>
    <row r="901">
      <c r="A901" s="109"/>
      <c r="B901" s="126"/>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c r="AD901" s="122"/>
    </row>
    <row r="902">
      <c r="A902" s="109"/>
      <c r="B902" s="126"/>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c r="AD902" s="122"/>
    </row>
    <row r="903">
      <c r="A903" s="109"/>
      <c r="B903" s="126"/>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c r="AD903" s="122"/>
    </row>
    <row r="904">
      <c r="A904" s="109"/>
      <c r="B904" s="126"/>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c r="AD904" s="122"/>
    </row>
    <row r="905">
      <c r="A905" s="109"/>
      <c r="B905" s="126"/>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c r="AD905" s="122"/>
    </row>
    <row r="906">
      <c r="A906" s="109"/>
      <c r="B906" s="126"/>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c r="AD906" s="122"/>
    </row>
    <row r="907">
      <c r="A907" s="109"/>
      <c r="B907" s="126"/>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c r="AD907" s="122"/>
    </row>
    <row r="908">
      <c r="A908" s="109"/>
      <c r="B908" s="126"/>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c r="AD908" s="122"/>
    </row>
    <row r="909">
      <c r="A909" s="109"/>
      <c r="B909" s="126"/>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c r="AD909" s="122"/>
    </row>
    <row r="910">
      <c r="A910" s="109"/>
      <c r="B910" s="126"/>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row>
    <row r="911">
      <c r="A911" s="109"/>
      <c r="B911" s="126"/>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row>
    <row r="912">
      <c r="A912" s="109"/>
      <c r="B912" s="126"/>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c r="AD912" s="122"/>
    </row>
    <row r="913">
      <c r="A913" s="109"/>
      <c r="B913" s="126"/>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c r="AD913" s="122"/>
    </row>
    <row r="914">
      <c r="A914" s="109"/>
      <c r="B914" s="126"/>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c r="AD914" s="122"/>
    </row>
    <row r="915">
      <c r="A915" s="109"/>
      <c r="B915" s="126"/>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c r="AD915" s="122"/>
    </row>
    <row r="916">
      <c r="A916" s="109"/>
      <c r="B916" s="126"/>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c r="AD916" s="122"/>
    </row>
    <row r="917">
      <c r="A917" s="109"/>
      <c r="B917" s="126"/>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c r="AD917" s="122"/>
    </row>
    <row r="918">
      <c r="A918" s="109"/>
      <c r="B918" s="126"/>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c r="AD918" s="122"/>
    </row>
    <row r="919">
      <c r="A919" s="109"/>
      <c r="B919" s="126"/>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c r="AD919" s="122"/>
    </row>
    <row r="920">
      <c r="A920" s="109"/>
      <c r="B920" s="126"/>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c r="AD920" s="122"/>
    </row>
    <row r="921">
      <c r="A921" s="109"/>
      <c r="B921" s="126"/>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c r="AD921" s="122"/>
    </row>
    <row r="922">
      <c r="A922" s="109"/>
      <c r="B922" s="126"/>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c r="AD922" s="122"/>
    </row>
    <row r="923">
      <c r="A923" s="109"/>
      <c r="B923" s="126"/>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c r="AD923" s="122"/>
    </row>
    <row r="924">
      <c r="A924" s="109"/>
      <c r="B924" s="126"/>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c r="AD924" s="122"/>
    </row>
    <row r="925">
      <c r="A925" s="109"/>
      <c r="B925" s="126"/>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c r="AD925" s="122"/>
    </row>
    <row r="926">
      <c r="A926" s="109"/>
      <c r="B926" s="126"/>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c r="AD926" s="122"/>
    </row>
    <row r="927">
      <c r="A927" s="109"/>
      <c r="B927" s="126"/>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c r="AD927" s="122"/>
    </row>
    <row r="928">
      <c r="A928" s="109"/>
      <c r="B928" s="126"/>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c r="AD928" s="122"/>
    </row>
    <row r="929">
      <c r="A929" s="109"/>
      <c r="B929" s="126"/>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c r="AD929" s="122"/>
    </row>
    <row r="930">
      <c r="A930" s="109"/>
      <c r="B930" s="126"/>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c r="AD930" s="122"/>
    </row>
    <row r="931">
      <c r="A931" s="109"/>
      <c r="B931" s="126"/>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c r="AD931" s="122"/>
    </row>
    <row r="932">
      <c r="A932" s="109"/>
      <c r="B932" s="126"/>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c r="AD932" s="122"/>
    </row>
    <row r="933">
      <c r="A933" s="109"/>
      <c r="B933" s="126"/>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c r="AD933" s="122"/>
    </row>
    <row r="934">
      <c r="A934" s="109"/>
      <c r="B934" s="126"/>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c r="AD934" s="122"/>
    </row>
    <row r="935">
      <c r="A935" s="109"/>
      <c r="B935" s="126"/>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c r="AD935" s="122"/>
    </row>
    <row r="936">
      <c r="A936" s="109"/>
      <c r="B936" s="126"/>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c r="AD936" s="122"/>
    </row>
    <row r="937">
      <c r="A937" s="109"/>
      <c r="B937" s="126"/>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c r="AD937" s="122"/>
    </row>
    <row r="938">
      <c r="A938" s="109"/>
      <c r="B938" s="126"/>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c r="AD938" s="122"/>
    </row>
    <row r="939">
      <c r="A939" s="109"/>
      <c r="B939" s="126"/>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c r="AD939" s="122"/>
    </row>
    <row r="940">
      <c r="A940" s="109"/>
      <c r="B940" s="126"/>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c r="AD940" s="122"/>
    </row>
    <row r="941">
      <c r="A941" s="109"/>
      <c r="B941" s="126"/>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c r="AD941" s="122"/>
    </row>
    <row r="942">
      <c r="A942" s="109"/>
      <c r="B942" s="126"/>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c r="AD942" s="122"/>
    </row>
    <row r="943">
      <c r="A943" s="109"/>
      <c r="B943" s="126"/>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c r="AD943" s="122"/>
    </row>
    <row r="944">
      <c r="A944" s="109"/>
      <c r="B944" s="126"/>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c r="AD944" s="122"/>
    </row>
    <row r="945">
      <c r="A945" s="109"/>
      <c r="B945" s="126"/>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c r="AD945" s="122"/>
    </row>
    <row r="946">
      <c r="A946" s="109"/>
      <c r="B946" s="126"/>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c r="AD946" s="122"/>
    </row>
    <row r="947">
      <c r="A947" s="109"/>
      <c r="B947" s="126"/>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c r="AD947" s="122"/>
    </row>
    <row r="948">
      <c r="A948" s="109"/>
      <c r="B948" s="126"/>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c r="AD948" s="122"/>
    </row>
    <row r="949">
      <c r="A949" s="109"/>
      <c r="B949" s="126"/>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c r="AD949" s="122"/>
    </row>
    <row r="950">
      <c r="A950" s="109"/>
      <c r="B950" s="126"/>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c r="AD950" s="122"/>
    </row>
    <row r="951">
      <c r="A951" s="109"/>
      <c r="B951" s="126"/>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c r="AD951" s="122"/>
    </row>
    <row r="952">
      <c r="A952" s="109"/>
      <c r="B952" s="126"/>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c r="AD952" s="122"/>
    </row>
    <row r="953">
      <c r="A953" s="109"/>
      <c r="B953" s="126"/>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c r="AD953" s="122"/>
    </row>
    <row r="954">
      <c r="A954" s="109"/>
      <c r="B954" s="126"/>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c r="AD954" s="122"/>
    </row>
    <row r="955">
      <c r="A955" s="109"/>
      <c r="B955" s="126"/>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c r="AD955" s="122"/>
    </row>
    <row r="956">
      <c r="A956" s="109"/>
      <c r="B956" s="126"/>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c r="AD956" s="122"/>
    </row>
    <row r="957">
      <c r="A957" s="109"/>
      <c r="B957" s="126"/>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c r="AD957" s="122"/>
    </row>
    <row r="958">
      <c r="A958" s="109"/>
      <c r="B958" s="126"/>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c r="AD958" s="122"/>
    </row>
    <row r="959">
      <c r="A959" s="109"/>
      <c r="B959" s="126"/>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c r="AD959" s="122"/>
    </row>
    <row r="960">
      <c r="A960" s="109"/>
      <c r="B960" s="126"/>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c r="AD960" s="122"/>
    </row>
    <row r="961">
      <c r="A961" s="109"/>
      <c r="B961" s="126"/>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c r="AD961" s="12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0"/>
    <col customWidth="1" min="2" max="2" width="36.5"/>
    <col customWidth="1" min="3" max="21" width="7.63"/>
    <col customWidth="1" min="22" max="22" width="8.88"/>
    <col customWidth="1" min="23" max="27" width="7.63"/>
    <col customWidth="1" min="28" max="28" width="15.88"/>
    <col customWidth="1" min="29" max="29" width="7.63"/>
  </cols>
  <sheetData>
    <row r="1">
      <c r="A1" s="109"/>
      <c r="B1" s="30" t="s">
        <v>58</v>
      </c>
      <c r="C1" s="30" t="s">
        <v>5</v>
      </c>
      <c r="D1" s="31"/>
      <c r="E1" s="31"/>
      <c r="F1" s="30"/>
      <c r="G1" s="30"/>
      <c r="H1" s="30"/>
      <c r="I1" s="30"/>
      <c r="J1" s="31"/>
      <c r="K1" s="31"/>
      <c r="L1" s="31"/>
      <c r="M1" s="30" t="s">
        <v>6</v>
      </c>
      <c r="N1" s="33"/>
      <c r="O1" s="33"/>
      <c r="P1" s="33"/>
      <c r="Q1" s="31"/>
      <c r="R1" s="30" t="s">
        <v>7</v>
      </c>
      <c r="S1" s="110"/>
      <c r="T1" s="31"/>
      <c r="U1" s="30"/>
      <c r="V1" s="31"/>
      <c r="W1" s="30" t="s">
        <v>8</v>
      </c>
      <c r="X1" s="111"/>
      <c r="Y1" s="31"/>
      <c r="Z1" s="31"/>
      <c r="AA1" s="112" t="s">
        <v>59</v>
      </c>
      <c r="AB1" s="113"/>
      <c r="AC1" s="113"/>
      <c r="AD1" s="113"/>
    </row>
    <row r="2">
      <c r="A2" s="109"/>
      <c r="B2" s="114" t="s">
        <v>30</v>
      </c>
      <c r="C2" s="115" t="s">
        <v>11</v>
      </c>
      <c r="D2" s="115" t="s">
        <v>12</v>
      </c>
      <c r="E2" s="114" t="s">
        <v>13</v>
      </c>
      <c r="F2" s="114" t="s">
        <v>14</v>
      </c>
      <c r="G2" s="114" t="s">
        <v>15</v>
      </c>
      <c r="H2" s="114" t="s">
        <v>60</v>
      </c>
      <c r="I2" s="114" t="s">
        <v>17</v>
      </c>
      <c r="J2" s="115" t="s">
        <v>18</v>
      </c>
      <c r="K2" s="114" t="s">
        <v>19</v>
      </c>
      <c r="L2" s="114" t="s">
        <v>61</v>
      </c>
      <c r="M2" s="114" t="s">
        <v>62</v>
      </c>
      <c r="N2" s="114" t="s">
        <v>63</v>
      </c>
      <c r="O2" s="114" t="s">
        <v>64</v>
      </c>
      <c r="P2" s="114" t="s">
        <v>65</v>
      </c>
      <c r="Q2" s="114" t="s">
        <v>66</v>
      </c>
      <c r="R2" s="114" t="s">
        <v>67</v>
      </c>
      <c r="S2" s="114" t="s">
        <v>68</v>
      </c>
      <c r="T2" s="114" t="s">
        <v>27</v>
      </c>
      <c r="U2" s="115" t="s">
        <v>28</v>
      </c>
      <c r="V2" s="114" t="s">
        <v>69</v>
      </c>
      <c r="W2" s="114" t="s">
        <v>67</v>
      </c>
      <c r="X2" s="114" t="s">
        <v>29</v>
      </c>
      <c r="Y2" s="114" t="s">
        <v>19</v>
      </c>
      <c r="Z2" s="114" t="s">
        <v>70</v>
      </c>
      <c r="AA2" s="116" t="s">
        <v>30</v>
      </c>
      <c r="AB2" s="113"/>
      <c r="AC2" s="113"/>
      <c r="AD2" s="113"/>
    </row>
    <row r="3">
      <c r="A3" s="127">
        <v>8.0</v>
      </c>
      <c r="B3" s="127" t="s">
        <v>106</v>
      </c>
      <c r="C3" s="128"/>
      <c r="D3" s="127"/>
      <c r="E3" s="128"/>
      <c r="F3" s="127">
        <v>-775.0</v>
      </c>
      <c r="G3" s="128"/>
      <c r="H3" s="128"/>
      <c r="I3" s="128"/>
      <c r="J3" s="128"/>
      <c r="K3" s="128"/>
      <c r="L3" s="128"/>
      <c r="M3" s="127"/>
      <c r="N3" s="127">
        <v>775.0</v>
      </c>
      <c r="O3" s="128"/>
      <c r="P3" s="128"/>
      <c r="Q3" s="128"/>
      <c r="R3" s="128"/>
      <c r="S3" s="128"/>
      <c r="T3" s="128"/>
      <c r="U3" s="127"/>
      <c r="V3" s="129"/>
      <c r="W3" s="128"/>
      <c r="X3" s="128"/>
      <c r="Y3" s="128"/>
      <c r="Z3" s="127"/>
      <c r="AA3" s="120">
        <f t="shared" ref="AA3:AA108" si="1">sum(C3:L3,N3:Q3)-sum(S3:Z3)</f>
        <v>0</v>
      </c>
      <c r="AB3" s="121"/>
      <c r="AC3" s="111"/>
      <c r="AD3" s="111"/>
    </row>
    <row r="4">
      <c r="A4" s="130">
        <v>15.0</v>
      </c>
      <c r="B4" s="131" t="s">
        <v>106</v>
      </c>
      <c r="C4" s="132"/>
      <c r="D4" s="132"/>
      <c r="E4" s="132"/>
      <c r="F4" s="131">
        <v>-286.0</v>
      </c>
      <c r="G4" s="132"/>
      <c r="H4" s="132"/>
      <c r="I4" s="132"/>
      <c r="J4" s="132"/>
      <c r="K4" s="132"/>
      <c r="L4" s="132"/>
      <c r="M4" s="133"/>
      <c r="N4" s="130">
        <v>286.0</v>
      </c>
      <c r="O4" s="132"/>
      <c r="P4" s="132"/>
      <c r="Q4" s="132"/>
      <c r="R4" s="132"/>
      <c r="S4" s="132"/>
      <c r="T4" s="132"/>
      <c r="U4" s="130"/>
      <c r="V4" s="134"/>
      <c r="W4" s="132"/>
      <c r="X4" s="132"/>
      <c r="Y4" s="132"/>
      <c r="Z4" s="134"/>
      <c r="AA4" s="120">
        <f t="shared" si="1"/>
        <v>0</v>
      </c>
      <c r="AB4" s="122"/>
      <c r="AC4" s="122"/>
      <c r="AD4" s="122"/>
    </row>
    <row r="5">
      <c r="A5" s="130">
        <v>6.0</v>
      </c>
      <c r="B5" s="131" t="s">
        <v>106</v>
      </c>
      <c r="C5" s="132"/>
      <c r="D5" s="132"/>
      <c r="E5" s="132"/>
      <c r="F5" s="131">
        <v>-532.0</v>
      </c>
      <c r="G5" s="132"/>
      <c r="H5" s="132"/>
      <c r="I5" s="132"/>
      <c r="J5" s="132"/>
      <c r="K5" s="132"/>
      <c r="L5" s="132"/>
      <c r="M5" s="133"/>
      <c r="N5" s="130">
        <v>532.0</v>
      </c>
      <c r="O5" s="132"/>
      <c r="P5" s="132"/>
      <c r="Q5" s="132"/>
      <c r="R5" s="132"/>
      <c r="S5" s="132"/>
      <c r="T5" s="132"/>
      <c r="U5" s="130"/>
      <c r="V5" s="134"/>
      <c r="W5" s="132"/>
      <c r="X5" s="132"/>
      <c r="Y5" s="132"/>
      <c r="Z5" s="134"/>
      <c r="AA5" s="120">
        <f t="shared" si="1"/>
        <v>0</v>
      </c>
      <c r="AB5" s="111"/>
      <c r="AC5" s="111"/>
      <c r="AD5" s="111"/>
    </row>
    <row r="6">
      <c r="A6" s="130">
        <v>13.0</v>
      </c>
      <c r="B6" s="131" t="s">
        <v>105</v>
      </c>
      <c r="C6" s="132"/>
      <c r="D6" s="131">
        <v>-5000.0</v>
      </c>
      <c r="E6" s="132"/>
      <c r="F6" s="131">
        <v>5000.0</v>
      </c>
      <c r="G6" s="132"/>
      <c r="H6" s="132"/>
      <c r="I6" s="132"/>
      <c r="J6" s="132"/>
      <c r="K6" s="132"/>
      <c r="L6" s="132"/>
      <c r="M6" s="133"/>
      <c r="N6" s="130"/>
      <c r="O6" s="132"/>
      <c r="P6" s="132"/>
      <c r="Q6" s="132"/>
      <c r="R6" s="132"/>
      <c r="S6" s="132"/>
      <c r="T6" s="132"/>
      <c r="U6" s="130"/>
      <c r="V6" s="134"/>
      <c r="W6" s="132"/>
      <c r="X6" s="132"/>
      <c r="Y6" s="132"/>
      <c r="Z6" s="134"/>
      <c r="AA6" s="120">
        <f t="shared" si="1"/>
        <v>0</v>
      </c>
      <c r="AB6" s="111"/>
      <c r="AC6" s="111"/>
      <c r="AD6" s="111"/>
    </row>
    <row r="7">
      <c r="A7" s="130">
        <v>13.0</v>
      </c>
      <c r="B7" s="131" t="s">
        <v>106</v>
      </c>
      <c r="C7" s="132"/>
      <c r="D7" s="132"/>
      <c r="E7" s="132"/>
      <c r="F7" s="131">
        <v>-291.0</v>
      </c>
      <c r="G7" s="132"/>
      <c r="H7" s="132"/>
      <c r="I7" s="132"/>
      <c r="J7" s="132"/>
      <c r="K7" s="132"/>
      <c r="L7" s="132"/>
      <c r="M7" s="133"/>
      <c r="N7" s="130">
        <v>291.0</v>
      </c>
      <c r="O7" s="132"/>
      <c r="P7" s="132"/>
      <c r="Q7" s="132"/>
      <c r="R7" s="132"/>
      <c r="S7" s="132"/>
      <c r="T7" s="132"/>
      <c r="U7" s="130"/>
      <c r="V7" s="134"/>
      <c r="W7" s="132"/>
      <c r="X7" s="132"/>
      <c r="Y7" s="132"/>
      <c r="Z7" s="134"/>
      <c r="AA7" s="120">
        <f t="shared" si="1"/>
        <v>0</v>
      </c>
      <c r="AB7" s="122"/>
      <c r="AC7" s="122"/>
      <c r="AD7" s="122"/>
    </row>
    <row r="8">
      <c r="A8" s="130">
        <v>30.0</v>
      </c>
      <c r="B8" s="131" t="s">
        <v>106</v>
      </c>
      <c r="C8" s="132"/>
      <c r="D8" s="132"/>
      <c r="E8" s="132"/>
      <c r="F8" s="131">
        <v>-528.0</v>
      </c>
      <c r="G8" s="132"/>
      <c r="H8" s="132"/>
      <c r="I8" s="132"/>
      <c r="J8" s="132"/>
      <c r="K8" s="132"/>
      <c r="L8" s="132"/>
      <c r="M8" s="133"/>
      <c r="N8" s="130">
        <v>528.0</v>
      </c>
      <c r="O8" s="132"/>
      <c r="P8" s="132"/>
      <c r="Q8" s="132"/>
      <c r="R8" s="132"/>
      <c r="S8" s="132"/>
      <c r="T8" s="132"/>
      <c r="U8" s="130"/>
      <c r="V8" s="134"/>
      <c r="W8" s="132"/>
      <c r="X8" s="132"/>
      <c r="Y8" s="132"/>
      <c r="Z8" s="134"/>
      <c r="AA8" s="120">
        <f t="shared" si="1"/>
        <v>0</v>
      </c>
      <c r="AB8" s="121"/>
      <c r="AC8" s="122"/>
      <c r="AD8" s="122"/>
    </row>
    <row r="9">
      <c r="A9" s="130">
        <v>24.0</v>
      </c>
      <c r="B9" s="131" t="s">
        <v>106</v>
      </c>
      <c r="C9" s="132"/>
      <c r="D9" s="132"/>
      <c r="E9" s="132"/>
      <c r="F9" s="131">
        <v>-264.0</v>
      </c>
      <c r="G9" s="132"/>
      <c r="H9" s="132"/>
      <c r="I9" s="132"/>
      <c r="J9" s="132"/>
      <c r="K9" s="132"/>
      <c r="L9" s="132"/>
      <c r="M9" s="133"/>
      <c r="N9" s="130">
        <v>264.0</v>
      </c>
      <c r="O9" s="132"/>
      <c r="P9" s="132"/>
      <c r="Q9" s="132"/>
      <c r="R9" s="132"/>
      <c r="S9" s="132"/>
      <c r="T9" s="132"/>
      <c r="U9" s="130"/>
      <c r="V9" s="134"/>
      <c r="W9" s="132"/>
      <c r="X9" s="132"/>
      <c r="Y9" s="132"/>
      <c r="Z9" s="134"/>
      <c r="AA9" s="120">
        <f t="shared" si="1"/>
        <v>0</v>
      </c>
      <c r="AB9" s="121"/>
      <c r="AC9" s="122"/>
      <c r="AD9" s="122"/>
    </row>
    <row r="10">
      <c r="A10" s="130">
        <v>28.0</v>
      </c>
      <c r="B10" s="131" t="s">
        <v>106</v>
      </c>
      <c r="C10" s="132"/>
      <c r="D10" s="132"/>
      <c r="E10" s="132"/>
      <c r="F10" s="131">
        <v>-374.0</v>
      </c>
      <c r="G10" s="132"/>
      <c r="H10" s="132"/>
      <c r="I10" s="132"/>
      <c r="J10" s="132"/>
      <c r="K10" s="132"/>
      <c r="L10" s="132"/>
      <c r="M10" s="133"/>
      <c r="N10" s="130">
        <v>374.0</v>
      </c>
      <c r="O10" s="132"/>
      <c r="P10" s="132"/>
      <c r="Q10" s="132"/>
      <c r="R10" s="132"/>
      <c r="S10" s="132"/>
      <c r="T10" s="132"/>
      <c r="U10" s="130"/>
      <c r="V10" s="134"/>
      <c r="W10" s="132"/>
      <c r="X10" s="132"/>
      <c r="Y10" s="132"/>
      <c r="Z10" s="134"/>
      <c r="AA10" s="120">
        <f t="shared" si="1"/>
        <v>0</v>
      </c>
      <c r="AB10" s="122"/>
      <c r="AC10" s="122"/>
      <c r="AD10" s="122"/>
    </row>
    <row r="11">
      <c r="A11" s="130">
        <v>21.0</v>
      </c>
      <c r="B11" s="131" t="s">
        <v>106</v>
      </c>
      <c r="C11" s="132"/>
      <c r="D11" s="132"/>
      <c r="E11" s="132"/>
      <c r="F11" s="131">
        <v>-578.0</v>
      </c>
      <c r="G11" s="132"/>
      <c r="H11" s="132"/>
      <c r="I11" s="132"/>
      <c r="J11" s="132"/>
      <c r="K11" s="132"/>
      <c r="L11" s="132"/>
      <c r="M11" s="133"/>
      <c r="N11" s="130">
        <v>578.0</v>
      </c>
      <c r="O11" s="132"/>
      <c r="P11" s="132"/>
      <c r="Q11" s="132"/>
      <c r="R11" s="132"/>
      <c r="S11" s="132"/>
      <c r="T11" s="132"/>
      <c r="U11" s="130"/>
      <c r="V11" s="134"/>
      <c r="W11" s="132"/>
      <c r="X11" s="132"/>
      <c r="Y11" s="132"/>
      <c r="Z11" s="134"/>
      <c r="AA11" s="120">
        <f t="shared" si="1"/>
        <v>0</v>
      </c>
      <c r="AB11" s="122"/>
      <c r="AC11" s="122"/>
      <c r="AD11" s="122"/>
    </row>
    <row r="12">
      <c r="A12" s="130">
        <v>22.0</v>
      </c>
      <c r="B12" s="131" t="s">
        <v>106</v>
      </c>
      <c r="C12" s="132"/>
      <c r="D12" s="132"/>
      <c r="E12" s="132"/>
      <c r="F12" s="131">
        <v>-396.0</v>
      </c>
      <c r="G12" s="132"/>
      <c r="H12" s="132"/>
      <c r="I12" s="132"/>
      <c r="J12" s="132"/>
      <c r="K12" s="132"/>
      <c r="L12" s="132"/>
      <c r="M12" s="133"/>
      <c r="N12" s="130">
        <v>396.0</v>
      </c>
      <c r="O12" s="132"/>
      <c r="P12" s="132"/>
      <c r="Q12" s="132"/>
      <c r="R12" s="132"/>
      <c r="S12" s="132"/>
      <c r="T12" s="132"/>
      <c r="U12" s="130"/>
      <c r="V12" s="134"/>
      <c r="W12" s="132"/>
      <c r="X12" s="132"/>
      <c r="Y12" s="132"/>
      <c r="Z12" s="134"/>
      <c r="AA12" s="120">
        <f t="shared" si="1"/>
        <v>0</v>
      </c>
      <c r="AB12" s="122"/>
      <c r="AC12" s="122"/>
      <c r="AD12" s="122"/>
    </row>
    <row r="13">
      <c r="A13" s="130">
        <v>14.0</v>
      </c>
      <c r="B13" s="131" t="s">
        <v>106</v>
      </c>
      <c r="C13" s="132"/>
      <c r="D13" s="132"/>
      <c r="E13" s="132"/>
      <c r="F13" s="131">
        <v>-484.0</v>
      </c>
      <c r="G13" s="132"/>
      <c r="H13" s="132"/>
      <c r="I13" s="132"/>
      <c r="J13" s="132"/>
      <c r="K13" s="132"/>
      <c r="L13" s="132"/>
      <c r="M13" s="133"/>
      <c r="N13" s="130">
        <v>484.0</v>
      </c>
      <c r="O13" s="132"/>
      <c r="P13" s="132"/>
      <c r="Q13" s="132"/>
      <c r="R13" s="132"/>
      <c r="S13" s="132"/>
      <c r="T13" s="132"/>
      <c r="U13" s="130"/>
      <c r="V13" s="134"/>
      <c r="W13" s="132"/>
      <c r="X13" s="132"/>
      <c r="Y13" s="132"/>
      <c r="Z13" s="134"/>
      <c r="AA13" s="120">
        <f t="shared" si="1"/>
        <v>0</v>
      </c>
      <c r="AB13" s="122"/>
      <c r="AC13" s="122"/>
      <c r="AD13" s="122"/>
    </row>
    <row r="14">
      <c r="A14" s="130">
        <v>9.0</v>
      </c>
      <c r="B14" s="131" t="s">
        <v>106</v>
      </c>
      <c r="C14" s="132"/>
      <c r="D14" s="132"/>
      <c r="E14" s="132"/>
      <c r="F14" s="131">
        <v>-666.0</v>
      </c>
      <c r="G14" s="132"/>
      <c r="H14" s="132"/>
      <c r="I14" s="132"/>
      <c r="J14" s="132"/>
      <c r="K14" s="132"/>
      <c r="L14" s="132"/>
      <c r="M14" s="133"/>
      <c r="N14" s="130">
        <v>666.0</v>
      </c>
      <c r="O14" s="132"/>
      <c r="P14" s="132"/>
      <c r="Q14" s="132"/>
      <c r="R14" s="132"/>
      <c r="S14" s="132"/>
      <c r="T14" s="132"/>
      <c r="U14" s="130"/>
      <c r="V14" s="134"/>
      <c r="W14" s="132"/>
      <c r="X14" s="132"/>
      <c r="Y14" s="132"/>
      <c r="Z14" s="134"/>
      <c r="AA14" s="120">
        <f t="shared" si="1"/>
        <v>0</v>
      </c>
      <c r="AB14" s="122"/>
      <c r="AC14" s="122"/>
      <c r="AD14" s="122"/>
    </row>
    <row r="15">
      <c r="A15" s="130">
        <v>27.0</v>
      </c>
      <c r="B15" s="131" t="s">
        <v>106</v>
      </c>
      <c r="C15" s="132"/>
      <c r="D15" s="132"/>
      <c r="E15" s="132"/>
      <c r="F15" s="131">
        <v>-572.0</v>
      </c>
      <c r="G15" s="132"/>
      <c r="H15" s="132"/>
      <c r="I15" s="132"/>
      <c r="J15" s="132"/>
      <c r="K15" s="132"/>
      <c r="L15" s="132"/>
      <c r="M15" s="133"/>
      <c r="N15" s="130">
        <v>572.0</v>
      </c>
      <c r="O15" s="132"/>
      <c r="P15" s="132"/>
      <c r="Q15" s="132"/>
      <c r="R15" s="132"/>
      <c r="S15" s="132"/>
      <c r="T15" s="132"/>
      <c r="U15" s="130"/>
      <c r="V15" s="134"/>
      <c r="W15" s="132"/>
      <c r="X15" s="132"/>
      <c r="Y15" s="132"/>
      <c r="Z15" s="134"/>
      <c r="AA15" s="120">
        <f t="shared" si="1"/>
        <v>0</v>
      </c>
      <c r="AB15" s="122"/>
      <c r="AC15" s="122"/>
      <c r="AD15" s="122"/>
    </row>
    <row r="16">
      <c r="A16" s="130">
        <v>29.0</v>
      </c>
      <c r="B16" s="131" t="s">
        <v>106</v>
      </c>
      <c r="C16" s="132"/>
      <c r="D16" s="132"/>
      <c r="E16" s="132"/>
      <c r="F16" s="131">
        <v>-396.0</v>
      </c>
      <c r="G16" s="132"/>
      <c r="H16" s="132"/>
      <c r="I16" s="132"/>
      <c r="J16" s="132"/>
      <c r="K16" s="132"/>
      <c r="L16" s="132"/>
      <c r="M16" s="133"/>
      <c r="N16" s="130">
        <v>396.0</v>
      </c>
      <c r="O16" s="132"/>
      <c r="P16" s="132"/>
      <c r="Q16" s="132"/>
      <c r="R16" s="132"/>
      <c r="S16" s="132"/>
      <c r="T16" s="132"/>
      <c r="U16" s="130"/>
      <c r="V16" s="134"/>
      <c r="W16" s="132"/>
      <c r="X16" s="132"/>
      <c r="Y16" s="132"/>
      <c r="Z16" s="134"/>
      <c r="AA16" s="120">
        <f t="shared" si="1"/>
        <v>0</v>
      </c>
      <c r="AB16" s="121"/>
      <c r="AC16" s="122"/>
      <c r="AD16" s="122"/>
    </row>
    <row r="17">
      <c r="A17" s="130">
        <v>7.0</v>
      </c>
      <c r="B17" s="131" t="s">
        <v>106</v>
      </c>
      <c r="C17" s="132"/>
      <c r="D17" s="132"/>
      <c r="E17" s="132"/>
      <c r="F17" s="131">
        <v>-732.0</v>
      </c>
      <c r="G17" s="132"/>
      <c r="H17" s="132"/>
      <c r="I17" s="132"/>
      <c r="J17" s="132"/>
      <c r="K17" s="132"/>
      <c r="L17" s="132"/>
      <c r="M17" s="133"/>
      <c r="N17" s="130">
        <v>732.0</v>
      </c>
      <c r="O17" s="132"/>
      <c r="P17" s="132"/>
      <c r="Q17" s="132"/>
      <c r="R17" s="132"/>
      <c r="S17" s="132"/>
      <c r="T17" s="132"/>
      <c r="U17" s="130"/>
      <c r="V17" s="134"/>
      <c r="W17" s="132"/>
      <c r="X17" s="132"/>
      <c r="Y17" s="132"/>
      <c r="Z17" s="134"/>
      <c r="AA17" s="120">
        <f t="shared" si="1"/>
        <v>0</v>
      </c>
      <c r="AB17" s="122"/>
      <c r="AC17" s="122"/>
      <c r="AD17" s="122"/>
    </row>
    <row r="18">
      <c r="A18" s="130">
        <v>16.0</v>
      </c>
      <c r="B18" s="131" t="s">
        <v>106</v>
      </c>
      <c r="C18" s="132"/>
      <c r="D18" s="132"/>
      <c r="E18" s="132"/>
      <c r="F18" s="131">
        <v>-682.0</v>
      </c>
      <c r="G18" s="132"/>
      <c r="H18" s="132"/>
      <c r="I18" s="132"/>
      <c r="J18" s="132"/>
      <c r="K18" s="132"/>
      <c r="L18" s="132"/>
      <c r="M18" s="133"/>
      <c r="N18" s="130">
        <v>682.0</v>
      </c>
      <c r="O18" s="132"/>
      <c r="P18" s="132"/>
      <c r="Q18" s="134"/>
      <c r="R18" s="132"/>
      <c r="S18" s="132"/>
      <c r="T18" s="132"/>
      <c r="U18" s="130"/>
      <c r="V18" s="134"/>
      <c r="W18" s="132"/>
      <c r="X18" s="132"/>
      <c r="Y18" s="132"/>
      <c r="Z18" s="134"/>
      <c r="AA18" s="120">
        <f t="shared" si="1"/>
        <v>0</v>
      </c>
      <c r="AB18" s="111"/>
      <c r="AC18" s="111"/>
      <c r="AD18" s="111"/>
    </row>
    <row r="19">
      <c r="A19" s="130">
        <v>6.0</v>
      </c>
      <c r="B19" s="131" t="s">
        <v>117</v>
      </c>
      <c r="C19" s="132"/>
      <c r="D19" s="131">
        <v>-356.0</v>
      </c>
      <c r="E19" s="132"/>
      <c r="F19" s="132"/>
      <c r="G19" s="132"/>
      <c r="H19" s="132"/>
      <c r="I19" s="132"/>
      <c r="J19" s="132"/>
      <c r="K19" s="132"/>
      <c r="L19" s="132"/>
      <c r="M19" s="133"/>
      <c r="N19" s="130">
        <v>356.0</v>
      </c>
      <c r="O19" s="132"/>
      <c r="P19" s="132"/>
      <c r="Q19" s="134"/>
      <c r="R19" s="132"/>
      <c r="S19" s="132"/>
      <c r="T19" s="132"/>
      <c r="U19" s="130"/>
      <c r="V19" s="134"/>
      <c r="W19" s="132"/>
      <c r="X19" s="132"/>
      <c r="Y19" s="132"/>
      <c r="Z19" s="134"/>
      <c r="AA19" s="120">
        <f t="shared" si="1"/>
        <v>0</v>
      </c>
      <c r="AB19" s="111"/>
      <c r="AC19" s="111"/>
      <c r="AD19" s="111"/>
    </row>
    <row r="20">
      <c r="A20" s="130">
        <v>25.0</v>
      </c>
      <c r="B20" s="131" t="s">
        <v>117</v>
      </c>
      <c r="C20" s="132"/>
      <c r="D20" s="131">
        <v>-205.0</v>
      </c>
      <c r="E20" s="132"/>
      <c r="F20" s="132"/>
      <c r="G20" s="132"/>
      <c r="H20" s="132"/>
      <c r="I20" s="132"/>
      <c r="J20" s="132"/>
      <c r="K20" s="132"/>
      <c r="L20" s="132"/>
      <c r="M20" s="133"/>
      <c r="N20" s="130">
        <v>205.0</v>
      </c>
      <c r="O20" s="132"/>
      <c r="P20" s="132"/>
      <c r="Q20" s="134"/>
      <c r="R20" s="132"/>
      <c r="S20" s="132"/>
      <c r="T20" s="132"/>
      <c r="U20" s="130"/>
      <c r="V20" s="134"/>
      <c r="W20" s="132"/>
      <c r="X20" s="132"/>
      <c r="Y20" s="132"/>
      <c r="Z20" s="134"/>
      <c r="AA20" s="120">
        <f t="shared" si="1"/>
        <v>0</v>
      </c>
      <c r="AB20" s="111"/>
      <c r="AC20" s="111"/>
      <c r="AD20" s="111"/>
    </row>
    <row r="21">
      <c r="A21" s="130">
        <v>13.0</v>
      </c>
      <c r="B21" s="131" t="s">
        <v>118</v>
      </c>
      <c r="C21" s="132"/>
      <c r="D21" s="131">
        <v>-1490.0</v>
      </c>
      <c r="E21" s="132"/>
      <c r="F21" s="132"/>
      <c r="G21" s="132"/>
      <c r="H21" s="132"/>
      <c r="I21" s="132"/>
      <c r="J21" s="132"/>
      <c r="K21" s="132"/>
      <c r="L21" s="132"/>
      <c r="M21" s="133"/>
      <c r="N21" s="130">
        <v>1490.0</v>
      </c>
      <c r="O21" s="132"/>
      <c r="P21" s="132"/>
      <c r="Q21" s="134"/>
      <c r="R21" s="132"/>
      <c r="S21" s="132"/>
      <c r="T21" s="132"/>
      <c r="U21" s="130"/>
      <c r="V21" s="134"/>
      <c r="W21" s="132"/>
      <c r="X21" s="132"/>
      <c r="Y21" s="132"/>
      <c r="Z21" s="134"/>
      <c r="AA21" s="120">
        <f t="shared" si="1"/>
        <v>0</v>
      </c>
      <c r="AB21" s="111"/>
      <c r="AC21" s="111"/>
      <c r="AD21" s="111"/>
    </row>
    <row r="22">
      <c r="A22" s="117">
        <v>44466.3964467593</v>
      </c>
      <c r="B22" s="117" t="s">
        <v>93</v>
      </c>
      <c r="C22" s="119"/>
      <c r="D22" s="119"/>
      <c r="E22" s="119"/>
      <c r="F22" s="119"/>
      <c r="G22" s="119"/>
      <c r="H22" s="119"/>
      <c r="I22" s="119"/>
      <c r="J22" s="117">
        <v>-160.0</v>
      </c>
      <c r="K22" s="117">
        <v>160.0</v>
      </c>
      <c r="L22" s="119"/>
      <c r="M22" s="118"/>
      <c r="N22" s="119"/>
      <c r="O22" s="119"/>
      <c r="P22" s="119"/>
      <c r="Q22" s="118"/>
      <c r="R22" s="119"/>
      <c r="S22" s="119"/>
      <c r="T22" s="119"/>
      <c r="U22" s="118"/>
      <c r="V22" s="118"/>
      <c r="W22" s="119"/>
      <c r="X22" s="119"/>
      <c r="Y22" s="119"/>
      <c r="Z22" s="118"/>
      <c r="AA22" s="120">
        <f t="shared" si="1"/>
        <v>0</v>
      </c>
      <c r="AB22" s="122"/>
      <c r="AC22" s="122"/>
      <c r="AD22" s="122"/>
    </row>
    <row r="23">
      <c r="A23" s="117">
        <v>44461.4334490741</v>
      </c>
      <c r="B23" s="117" t="s">
        <v>93</v>
      </c>
      <c r="C23" s="119"/>
      <c r="D23" s="119"/>
      <c r="E23" s="119"/>
      <c r="F23" s="119"/>
      <c r="G23" s="119"/>
      <c r="H23" s="119"/>
      <c r="I23" s="119"/>
      <c r="J23" s="117">
        <v>-160.0</v>
      </c>
      <c r="K23" s="117">
        <v>160.0</v>
      </c>
      <c r="L23" s="119"/>
      <c r="M23" s="118"/>
      <c r="N23" s="119"/>
      <c r="O23" s="119"/>
      <c r="P23" s="118"/>
      <c r="Q23" s="119"/>
      <c r="R23" s="119"/>
      <c r="S23" s="119"/>
      <c r="T23" s="119"/>
      <c r="U23" s="118"/>
      <c r="V23" s="118"/>
      <c r="W23" s="119"/>
      <c r="X23" s="119"/>
      <c r="Y23" s="119"/>
      <c r="Z23" s="118"/>
      <c r="AA23" s="120">
        <f t="shared" si="1"/>
        <v>0</v>
      </c>
      <c r="AB23" s="122"/>
      <c r="AC23" s="122"/>
      <c r="AD23" s="122"/>
    </row>
    <row r="24">
      <c r="A24" s="117">
        <v>44452.4283796296</v>
      </c>
      <c r="B24" s="117" t="s">
        <v>93</v>
      </c>
      <c r="C24" s="119"/>
      <c r="D24" s="119"/>
      <c r="E24" s="119"/>
      <c r="F24" s="119"/>
      <c r="G24" s="119"/>
      <c r="H24" s="119"/>
      <c r="I24" s="119"/>
      <c r="J24" s="117">
        <v>-160.0</v>
      </c>
      <c r="K24" s="117">
        <v>160.0</v>
      </c>
      <c r="L24" s="119"/>
      <c r="M24" s="118"/>
      <c r="N24" s="119"/>
      <c r="O24" s="119"/>
      <c r="P24" s="118"/>
      <c r="Q24" s="118"/>
      <c r="R24" s="119"/>
      <c r="S24" s="119"/>
      <c r="T24" s="119"/>
      <c r="U24" s="118"/>
      <c r="V24" s="118"/>
      <c r="W24" s="119"/>
      <c r="X24" s="119"/>
      <c r="Y24" s="119"/>
      <c r="Z24" s="118"/>
      <c r="AA24" s="120">
        <f t="shared" si="1"/>
        <v>0</v>
      </c>
      <c r="AB24" s="122"/>
      <c r="AC24" s="122"/>
      <c r="AD24" s="122"/>
    </row>
    <row r="25">
      <c r="A25" s="117">
        <v>44445.4664351852</v>
      </c>
      <c r="B25" s="117" t="s">
        <v>93</v>
      </c>
      <c r="C25" s="119"/>
      <c r="D25" s="119"/>
      <c r="E25" s="119"/>
      <c r="F25" s="119"/>
      <c r="G25" s="119"/>
      <c r="H25" s="119"/>
      <c r="I25" s="119"/>
      <c r="J25" s="117">
        <v>-160.0</v>
      </c>
      <c r="K25" s="117">
        <v>160.0</v>
      </c>
      <c r="L25" s="119"/>
      <c r="M25" s="118"/>
      <c r="N25" s="119"/>
      <c r="O25" s="119"/>
      <c r="P25" s="119"/>
      <c r="Q25" s="118"/>
      <c r="R25" s="119"/>
      <c r="S25" s="119"/>
      <c r="T25" s="119"/>
      <c r="U25" s="118"/>
      <c r="V25" s="118"/>
      <c r="W25" s="119"/>
      <c r="X25" s="119"/>
      <c r="Y25" s="119"/>
      <c r="Z25" s="118"/>
      <c r="AA25" s="120">
        <f t="shared" si="1"/>
        <v>0</v>
      </c>
      <c r="AB25" s="122"/>
      <c r="AC25" s="122"/>
      <c r="AD25" s="122"/>
    </row>
    <row r="26">
      <c r="A26" s="117">
        <v>44469.112962963</v>
      </c>
      <c r="B26" s="117" t="s">
        <v>94</v>
      </c>
      <c r="C26" s="119"/>
      <c r="D26" s="119"/>
      <c r="E26" s="119"/>
      <c r="F26" s="119"/>
      <c r="G26" s="119"/>
      <c r="H26" s="119"/>
      <c r="I26" s="119"/>
      <c r="J26" s="117">
        <v>178.56</v>
      </c>
      <c r="K26" s="119"/>
      <c r="L26" s="119"/>
      <c r="M26" s="118"/>
      <c r="N26" s="119"/>
      <c r="O26" s="119"/>
      <c r="P26" s="119"/>
      <c r="Q26" s="118"/>
      <c r="R26" s="119"/>
      <c r="S26" s="119"/>
      <c r="T26" s="119"/>
      <c r="U26" s="118"/>
      <c r="V26" s="118"/>
      <c r="W26" s="119"/>
      <c r="X26" s="119"/>
      <c r="Y26" s="119"/>
      <c r="Z26" s="117">
        <v>178.56</v>
      </c>
      <c r="AA26" s="120">
        <f t="shared" si="1"/>
        <v>0</v>
      </c>
      <c r="AB26" s="122"/>
      <c r="AC26" s="122"/>
      <c r="AD26" s="122"/>
    </row>
    <row r="27">
      <c r="A27" s="117">
        <v>44449.3860300926</v>
      </c>
      <c r="B27" s="117" t="s">
        <v>119</v>
      </c>
      <c r="C27" s="119"/>
      <c r="D27" s="119"/>
      <c r="E27" s="119"/>
      <c r="F27" s="119"/>
      <c r="G27" s="119"/>
      <c r="H27" s="119"/>
      <c r="I27" s="119"/>
      <c r="J27" s="117">
        <v>-1794.4</v>
      </c>
      <c r="K27" s="119"/>
      <c r="L27" s="119"/>
      <c r="M27" s="118"/>
      <c r="N27" s="118"/>
      <c r="O27" s="119"/>
      <c r="P27" s="119"/>
      <c r="Q27" s="118"/>
      <c r="R27" s="119"/>
      <c r="S27" s="119"/>
      <c r="T27" s="117">
        <v>-1794.4</v>
      </c>
      <c r="U27" s="118"/>
      <c r="V27" s="118"/>
      <c r="W27" s="119"/>
      <c r="X27" s="119"/>
      <c r="Y27" s="119"/>
      <c r="Z27" s="118"/>
      <c r="AA27" s="120">
        <f t="shared" si="1"/>
        <v>0</v>
      </c>
      <c r="AB27" s="121"/>
      <c r="AC27" s="111"/>
      <c r="AD27" s="111"/>
    </row>
    <row r="28">
      <c r="A28" s="117">
        <v>13.0</v>
      </c>
      <c r="B28" s="117" t="s">
        <v>98</v>
      </c>
      <c r="C28" s="119"/>
      <c r="D28" s="117">
        <v>-518.0</v>
      </c>
      <c r="E28" s="119"/>
      <c r="F28" s="119"/>
      <c r="G28" s="119"/>
      <c r="H28" s="119"/>
      <c r="I28" s="119"/>
      <c r="J28" s="119"/>
      <c r="K28" s="119"/>
      <c r="L28" s="119"/>
      <c r="M28" s="117" t="s">
        <v>72</v>
      </c>
      <c r="N28" s="117">
        <v>518.0</v>
      </c>
      <c r="O28" s="119"/>
      <c r="P28" s="119"/>
      <c r="Q28" s="119"/>
      <c r="R28" s="119"/>
      <c r="S28" s="119"/>
      <c r="T28" s="119"/>
      <c r="U28" s="118"/>
      <c r="V28" s="118"/>
      <c r="W28" s="119"/>
      <c r="X28" s="119"/>
      <c r="Y28" s="119"/>
      <c r="Z28" s="118"/>
      <c r="AA28" s="120">
        <f t="shared" si="1"/>
        <v>0</v>
      </c>
      <c r="AB28" s="122"/>
      <c r="AC28" s="122"/>
      <c r="AD28" s="122"/>
    </row>
    <row r="29">
      <c r="A29" s="117">
        <v>6.0</v>
      </c>
      <c r="B29" s="117" t="s">
        <v>98</v>
      </c>
      <c r="C29" s="119"/>
      <c r="D29" s="117">
        <v>-475.0</v>
      </c>
      <c r="E29" s="119"/>
      <c r="F29" s="119"/>
      <c r="G29" s="119"/>
      <c r="H29" s="119"/>
      <c r="I29" s="119"/>
      <c r="J29" s="119"/>
      <c r="K29" s="119"/>
      <c r="L29" s="119"/>
      <c r="M29" s="117" t="s">
        <v>72</v>
      </c>
      <c r="N29" s="117">
        <v>475.0</v>
      </c>
      <c r="O29" s="119"/>
      <c r="P29" s="119"/>
      <c r="Q29" s="119"/>
      <c r="R29" s="119"/>
      <c r="S29" s="119"/>
      <c r="T29" s="119"/>
      <c r="U29" s="118"/>
      <c r="V29" s="118"/>
      <c r="W29" s="119"/>
      <c r="X29" s="119"/>
      <c r="Y29" s="119"/>
      <c r="Z29" s="118"/>
      <c r="AA29" s="120">
        <f t="shared" si="1"/>
        <v>0</v>
      </c>
      <c r="AB29" s="122"/>
      <c r="AC29" s="122"/>
      <c r="AD29" s="122"/>
    </row>
    <row r="30">
      <c r="A30" s="117">
        <v>26.0</v>
      </c>
      <c r="B30" s="117" t="s">
        <v>98</v>
      </c>
      <c r="C30" s="119"/>
      <c r="D30" s="117">
        <v>-390.0</v>
      </c>
      <c r="E30" s="119"/>
      <c r="F30" s="119"/>
      <c r="G30" s="119"/>
      <c r="H30" s="119"/>
      <c r="I30" s="119"/>
      <c r="J30" s="118"/>
      <c r="K30" s="118"/>
      <c r="L30" s="119"/>
      <c r="M30" s="117" t="s">
        <v>72</v>
      </c>
      <c r="N30" s="117">
        <v>390.0</v>
      </c>
      <c r="O30" s="119"/>
      <c r="P30" s="119"/>
      <c r="Q30" s="119"/>
      <c r="R30" s="119"/>
      <c r="S30" s="119"/>
      <c r="T30" s="119"/>
      <c r="U30" s="118"/>
      <c r="V30" s="118"/>
      <c r="W30" s="119"/>
      <c r="X30" s="119"/>
      <c r="Y30" s="119"/>
      <c r="Z30" s="118"/>
      <c r="AA30" s="120">
        <f t="shared" si="1"/>
        <v>0</v>
      </c>
      <c r="AB30" s="122"/>
      <c r="AC30" s="122"/>
      <c r="AD30" s="122"/>
    </row>
    <row r="31">
      <c r="A31" s="117">
        <v>6.0</v>
      </c>
      <c r="B31" s="117" t="s">
        <v>98</v>
      </c>
      <c r="C31" s="119"/>
      <c r="D31" s="117">
        <v>-97.0</v>
      </c>
      <c r="E31" s="119"/>
      <c r="F31" s="119"/>
      <c r="G31" s="119"/>
      <c r="H31" s="119"/>
      <c r="I31" s="119"/>
      <c r="J31" s="118"/>
      <c r="K31" s="118"/>
      <c r="L31" s="119"/>
      <c r="M31" s="117" t="s">
        <v>72</v>
      </c>
      <c r="N31" s="117">
        <v>97.0</v>
      </c>
      <c r="O31" s="119"/>
      <c r="P31" s="119"/>
      <c r="Q31" s="119"/>
      <c r="R31" s="119"/>
      <c r="S31" s="119"/>
      <c r="T31" s="119"/>
      <c r="U31" s="119"/>
      <c r="V31" s="118"/>
      <c r="W31" s="119"/>
      <c r="X31" s="119"/>
      <c r="Y31" s="119"/>
      <c r="Z31" s="118"/>
      <c r="AA31" s="120">
        <f t="shared" si="1"/>
        <v>0</v>
      </c>
      <c r="AB31" s="122"/>
      <c r="AC31" s="122"/>
      <c r="AD31" s="122"/>
    </row>
    <row r="32">
      <c r="A32" s="117">
        <v>25.0</v>
      </c>
      <c r="B32" s="117" t="s">
        <v>98</v>
      </c>
      <c r="C32" s="119"/>
      <c r="D32" s="117">
        <v>-524.0</v>
      </c>
      <c r="E32" s="119"/>
      <c r="F32" s="119"/>
      <c r="G32" s="119"/>
      <c r="H32" s="119"/>
      <c r="I32" s="119"/>
      <c r="J32" s="118"/>
      <c r="K32" s="118"/>
      <c r="L32" s="119"/>
      <c r="M32" s="117" t="s">
        <v>72</v>
      </c>
      <c r="N32" s="117">
        <v>524.0</v>
      </c>
      <c r="O32" s="119"/>
      <c r="P32" s="119"/>
      <c r="Q32" s="119"/>
      <c r="R32" s="119"/>
      <c r="S32" s="119"/>
      <c r="T32" s="119"/>
      <c r="U32" s="119"/>
      <c r="V32" s="118"/>
      <c r="W32" s="119"/>
      <c r="X32" s="119"/>
      <c r="Y32" s="119"/>
      <c r="Z32" s="118"/>
      <c r="AA32" s="120">
        <f t="shared" si="1"/>
        <v>0</v>
      </c>
      <c r="AB32" s="121"/>
      <c r="AC32" s="122"/>
      <c r="AD32" s="122"/>
    </row>
    <row r="33">
      <c r="A33" s="117">
        <v>25.0</v>
      </c>
      <c r="B33" s="117" t="s">
        <v>98</v>
      </c>
      <c r="C33" s="119"/>
      <c r="D33" s="117">
        <v>-350.0</v>
      </c>
      <c r="E33" s="119"/>
      <c r="F33" s="119"/>
      <c r="G33" s="119"/>
      <c r="H33" s="119"/>
      <c r="I33" s="119"/>
      <c r="J33" s="118"/>
      <c r="K33" s="118"/>
      <c r="L33" s="119"/>
      <c r="M33" s="117" t="s">
        <v>72</v>
      </c>
      <c r="N33" s="117">
        <v>350.0</v>
      </c>
      <c r="O33" s="119"/>
      <c r="P33" s="119"/>
      <c r="Q33" s="119"/>
      <c r="R33" s="119"/>
      <c r="S33" s="119"/>
      <c r="T33" s="119"/>
      <c r="U33" s="119"/>
      <c r="V33" s="118"/>
      <c r="W33" s="119"/>
      <c r="X33" s="119"/>
      <c r="Y33" s="119"/>
      <c r="Z33" s="118"/>
      <c r="AA33" s="120">
        <f t="shared" si="1"/>
        <v>0</v>
      </c>
      <c r="AB33" s="121"/>
      <c r="AC33" s="111"/>
      <c r="AD33" s="111"/>
    </row>
    <row r="34">
      <c r="A34" s="117">
        <v>25.0</v>
      </c>
      <c r="B34" s="117" t="s">
        <v>98</v>
      </c>
      <c r="C34" s="119"/>
      <c r="D34" s="117">
        <v>-350.0</v>
      </c>
      <c r="E34" s="119"/>
      <c r="F34" s="119"/>
      <c r="G34" s="119"/>
      <c r="H34" s="119"/>
      <c r="I34" s="119"/>
      <c r="J34" s="118"/>
      <c r="K34" s="118"/>
      <c r="L34" s="119"/>
      <c r="M34" s="117" t="s">
        <v>72</v>
      </c>
      <c r="N34" s="117">
        <v>350.0</v>
      </c>
      <c r="O34" s="119"/>
      <c r="P34" s="119"/>
      <c r="Q34" s="119"/>
      <c r="R34" s="119"/>
      <c r="S34" s="119"/>
      <c r="T34" s="119"/>
      <c r="U34" s="119"/>
      <c r="V34" s="118"/>
      <c r="W34" s="119"/>
      <c r="X34" s="119"/>
      <c r="Y34" s="119"/>
      <c r="Z34" s="118"/>
      <c r="AA34" s="120">
        <f t="shared" si="1"/>
        <v>0</v>
      </c>
      <c r="AB34" s="111"/>
      <c r="AC34" s="111"/>
      <c r="AD34" s="111"/>
    </row>
    <row r="35">
      <c r="A35" s="117">
        <v>19.0</v>
      </c>
      <c r="B35" s="117" t="s">
        <v>98</v>
      </c>
      <c r="C35" s="119"/>
      <c r="D35" s="117">
        <v>-300.0</v>
      </c>
      <c r="E35" s="119"/>
      <c r="F35" s="119"/>
      <c r="G35" s="119"/>
      <c r="H35" s="119"/>
      <c r="I35" s="119"/>
      <c r="J35" s="118"/>
      <c r="K35" s="118"/>
      <c r="L35" s="119"/>
      <c r="M35" s="117" t="s">
        <v>72</v>
      </c>
      <c r="N35" s="117">
        <v>300.0</v>
      </c>
      <c r="O35" s="119"/>
      <c r="P35" s="119"/>
      <c r="Q35" s="119"/>
      <c r="R35" s="119"/>
      <c r="S35" s="119"/>
      <c r="T35" s="119"/>
      <c r="U35" s="119"/>
      <c r="V35" s="118"/>
      <c r="W35" s="119"/>
      <c r="X35" s="119"/>
      <c r="Y35" s="118"/>
      <c r="Z35" s="118"/>
      <c r="AA35" s="120">
        <f t="shared" si="1"/>
        <v>0</v>
      </c>
      <c r="AB35" s="122"/>
      <c r="AC35" s="122"/>
      <c r="AD35" s="122"/>
    </row>
    <row r="36">
      <c r="A36" s="117">
        <v>19.0</v>
      </c>
      <c r="B36" s="117" t="s">
        <v>98</v>
      </c>
      <c r="C36" s="119"/>
      <c r="D36" s="117">
        <v>-2808.0</v>
      </c>
      <c r="E36" s="119"/>
      <c r="F36" s="119"/>
      <c r="G36" s="119"/>
      <c r="H36" s="119"/>
      <c r="I36" s="119"/>
      <c r="J36" s="118"/>
      <c r="K36" s="119"/>
      <c r="L36" s="119"/>
      <c r="M36" s="117" t="s">
        <v>72</v>
      </c>
      <c r="N36" s="117">
        <v>2808.0</v>
      </c>
      <c r="O36" s="119"/>
      <c r="P36" s="119"/>
      <c r="Q36" s="119"/>
      <c r="R36" s="119"/>
      <c r="S36" s="119"/>
      <c r="T36" s="119"/>
      <c r="U36" s="119"/>
      <c r="V36" s="118"/>
      <c r="W36" s="119"/>
      <c r="X36" s="119"/>
      <c r="Y36" s="119"/>
      <c r="Z36" s="118"/>
      <c r="AA36" s="120">
        <f t="shared" si="1"/>
        <v>0</v>
      </c>
      <c r="AB36" s="123"/>
      <c r="AC36" s="122"/>
      <c r="AD36" s="122"/>
    </row>
    <row r="37">
      <c r="A37" s="117">
        <v>19.0</v>
      </c>
      <c r="B37" s="117" t="s">
        <v>98</v>
      </c>
      <c r="C37" s="119"/>
      <c r="D37" s="117">
        <v>-1755.0</v>
      </c>
      <c r="E37" s="119"/>
      <c r="F37" s="119"/>
      <c r="G37" s="119"/>
      <c r="H37" s="119"/>
      <c r="I37" s="119"/>
      <c r="J37" s="118"/>
      <c r="K37" s="119"/>
      <c r="L37" s="119"/>
      <c r="M37" s="117" t="s">
        <v>72</v>
      </c>
      <c r="N37" s="117">
        <v>1755.0</v>
      </c>
      <c r="O37" s="119"/>
      <c r="P37" s="119"/>
      <c r="Q37" s="119"/>
      <c r="R37" s="119"/>
      <c r="S37" s="119"/>
      <c r="T37" s="118"/>
      <c r="U37" s="119"/>
      <c r="V37" s="118"/>
      <c r="W37" s="119"/>
      <c r="X37" s="119"/>
      <c r="Y37" s="119"/>
      <c r="Z37" s="118"/>
      <c r="AA37" s="120">
        <f t="shared" si="1"/>
        <v>0</v>
      </c>
      <c r="AB37" s="122"/>
      <c r="AC37" s="122"/>
      <c r="AD37" s="122"/>
    </row>
    <row r="38">
      <c r="A38" s="117">
        <v>25.0</v>
      </c>
      <c r="B38" s="117" t="s">
        <v>98</v>
      </c>
      <c r="C38" s="119"/>
      <c r="D38" s="117">
        <v>-307.0</v>
      </c>
      <c r="E38" s="119"/>
      <c r="F38" s="119"/>
      <c r="G38" s="119"/>
      <c r="H38" s="119"/>
      <c r="I38" s="119"/>
      <c r="J38" s="119"/>
      <c r="K38" s="119"/>
      <c r="L38" s="119"/>
      <c r="M38" s="117" t="s">
        <v>72</v>
      </c>
      <c r="N38" s="117">
        <v>307.0</v>
      </c>
      <c r="O38" s="119"/>
      <c r="P38" s="119"/>
      <c r="Q38" s="119"/>
      <c r="R38" s="119"/>
      <c r="S38" s="119"/>
      <c r="T38" s="118"/>
      <c r="U38" s="119"/>
      <c r="V38" s="118"/>
      <c r="W38" s="119"/>
      <c r="X38" s="119"/>
      <c r="Y38" s="119"/>
      <c r="Z38" s="118"/>
      <c r="AA38" s="120">
        <f t="shared" si="1"/>
        <v>0</v>
      </c>
      <c r="AB38" s="121"/>
      <c r="AC38" s="122"/>
      <c r="AD38" s="122"/>
    </row>
    <row r="39">
      <c r="A39" s="117">
        <v>7.0</v>
      </c>
      <c r="B39" s="117" t="s">
        <v>120</v>
      </c>
      <c r="C39" s="119"/>
      <c r="D39" s="117">
        <v>-110.0</v>
      </c>
      <c r="E39" s="119"/>
      <c r="F39" s="119"/>
      <c r="G39" s="119"/>
      <c r="H39" s="119"/>
      <c r="I39" s="119"/>
      <c r="J39" s="118"/>
      <c r="K39" s="119"/>
      <c r="L39" s="119"/>
      <c r="M39" s="117" t="s">
        <v>72</v>
      </c>
      <c r="N39" s="118"/>
      <c r="O39" s="119"/>
      <c r="P39" s="119"/>
      <c r="Q39" s="117">
        <v>110.0</v>
      </c>
      <c r="R39" s="119"/>
      <c r="S39" s="119"/>
      <c r="T39" s="118"/>
      <c r="U39" s="119"/>
      <c r="V39" s="118"/>
      <c r="W39" s="119"/>
      <c r="X39" s="119"/>
      <c r="Y39" s="119"/>
      <c r="Z39" s="118"/>
      <c r="AA39" s="120">
        <f t="shared" si="1"/>
        <v>0</v>
      </c>
      <c r="AB39" s="121"/>
      <c r="AC39" s="122"/>
      <c r="AD39" s="122"/>
    </row>
    <row r="40">
      <c r="A40" s="117">
        <v>1.0</v>
      </c>
      <c r="B40" s="117" t="s">
        <v>101</v>
      </c>
      <c r="C40" s="119"/>
      <c r="D40" s="117">
        <v>-1776.0</v>
      </c>
      <c r="E40" s="119"/>
      <c r="F40" s="119"/>
      <c r="G40" s="119"/>
      <c r="H40" s="119"/>
      <c r="I40" s="119"/>
      <c r="J40" s="119"/>
      <c r="K40" s="119"/>
      <c r="L40" s="119"/>
      <c r="M40" s="117" t="s">
        <v>72</v>
      </c>
      <c r="N40" s="118"/>
      <c r="O40" s="119"/>
      <c r="P40" s="119"/>
      <c r="Q40" s="117">
        <v>1776.0</v>
      </c>
      <c r="R40" s="119"/>
      <c r="S40" s="119"/>
      <c r="T40" s="119"/>
      <c r="U40" s="119"/>
      <c r="V40" s="118"/>
      <c r="W40" s="119"/>
      <c r="X40" s="119"/>
      <c r="Y40" s="119"/>
      <c r="Z40" s="118"/>
      <c r="AA40" s="120">
        <f t="shared" si="1"/>
        <v>0</v>
      </c>
      <c r="AB40" s="122"/>
      <c r="AC40" s="122"/>
      <c r="AD40" s="122"/>
    </row>
    <row r="41">
      <c r="A41" s="117">
        <v>26.0</v>
      </c>
      <c r="B41" s="117" t="s">
        <v>121</v>
      </c>
      <c r="C41" s="119"/>
      <c r="D41" s="117">
        <v>-770.0</v>
      </c>
      <c r="E41" s="119"/>
      <c r="F41" s="119"/>
      <c r="G41" s="119"/>
      <c r="H41" s="119"/>
      <c r="I41" s="119"/>
      <c r="J41" s="119"/>
      <c r="K41" s="119"/>
      <c r="L41" s="119"/>
      <c r="M41" s="117" t="s">
        <v>72</v>
      </c>
      <c r="N41" s="118"/>
      <c r="O41" s="119"/>
      <c r="P41" s="119"/>
      <c r="Q41" s="117">
        <v>770.0</v>
      </c>
      <c r="R41" s="119"/>
      <c r="S41" s="119"/>
      <c r="T41" s="119"/>
      <c r="U41" s="119"/>
      <c r="V41" s="118"/>
      <c r="W41" s="119"/>
      <c r="X41" s="119"/>
      <c r="Y41" s="119"/>
      <c r="Z41" s="118"/>
      <c r="AA41" s="120">
        <f t="shared" si="1"/>
        <v>0</v>
      </c>
      <c r="AB41" s="121"/>
      <c r="AC41" s="111"/>
      <c r="AD41" s="111"/>
    </row>
    <row r="42">
      <c r="A42" s="117">
        <v>13.0</v>
      </c>
      <c r="B42" s="117" t="s">
        <v>99</v>
      </c>
      <c r="C42" s="119"/>
      <c r="D42" s="117">
        <v>-220.0</v>
      </c>
      <c r="E42" s="119"/>
      <c r="F42" s="119"/>
      <c r="G42" s="119"/>
      <c r="H42" s="119"/>
      <c r="I42" s="119"/>
      <c r="J42" s="119"/>
      <c r="K42" s="119"/>
      <c r="L42" s="119"/>
      <c r="M42" s="117" t="s">
        <v>72</v>
      </c>
      <c r="N42" s="118"/>
      <c r="O42" s="119"/>
      <c r="P42" s="119"/>
      <c r="Q42" s="117">
        <v>220.0</v>
      </c>
      <c r="R42" s="119"/>
      <c r="S42" s="119"/>
      <c r="T42" s="119"/>
      <c r="U42" s="119"/>
      <c r="V42" s="118"/>
      <c r="W42" s="119"/>
      <c r="X42" s="119"/>
      <c r="Y42" s="119"/>
      <c r="Z42" s="118"/>
      <c r="AA42" s="120">
        <f t="shared" si="1"/>
        <v>0</v>
      </c>
      <c r="AB42" s="121"/>
      <c r="AC42" s="111"/>
      <c r="AD42" s="111"/>
    </row>
    <row r="43">
      <c r="A43" s="117">
        <v>1.0</v>
      </c>
      <c r="B43" s="117" t="s">
        <v>121</v>
      </c>
      <c r="C43" s="119"/>
      <c r="D43" s="117">
        <v>-313.0</v>
      </c>
      <c r="E43" s="119"/>
      <c r="F43" s="119"/>
      <c r="G43" s="119"/>
      <c r="H43" s="119"/>
      <c r="I43" s="119"/>
      <c r="J43" s="119"/>
      <c r="K43" s="119"/>
      <c r="L43" s="119"/>
      <c r="M43" s="117" t="s">
        <v>72</v>
      </c>
      <c r="N43" s="118"/>
      <c r="O43" s="119"/>
      <c r="P43" s="119"/>
      <c r="Q43" s="117">
        <v>313.0</v>
      </c>
      <c r="R43" s="119"/>
      <c r="S43" s="119"/>
      <c r="T43" s="119"/>
      <c r="U43" s="119"/>
      <c r="V43" s="118"/>
      <c r="W43" s="119"/>
      <c r="X43" s="119"/>
      <c r="Y43" s="119"/>
      <c r="Z43" s="118"/>
      <c r="AA43" s="120">
        <f t="shared" si="1"/>
        <v>0</v>
      </c>
      <c r="AB43" s="121"/>
      <c r="AC43" s="122"/>
      <c r="AD43" s="122"/>
    </row>
    <row r="44">
      <c r="A44" s="117">
        <v>9.0</v>
      </c>
      <c r="B44" s="117" t="s">
        <v>64</v>
      </c>
      <c r="C44" s="119"/>
      <c r="D44" s="117">
        <v>-1000.0</v>
      </c>
      <c r="E44" s="119"/>
      <c r="F44" s="119"/>
      <c r="G44" s="119"/>
      <c r="H44" s="119"/>
      <c r="I44" s="119"/>
      <c r="J44" s="119"/>
      <c r="K44" s="119"/>
      <c r="M44" s="117" t="s">
        <v>72</v>
      </c>
      <c r="N44" s="118"/>
      <c r="O44" s="117">
        <v>1000.0</v>
      </c>
      <c r="P44" s="119"/>
      <c r="Q44" s="119"/>
      <c r="R44" s="119"/>
      <c r="S44" s="119"/>
      <c r="T44" s="119"/>
      <c r="U44" s="119"/>
      <c r="V44" s="118"/>
      <c r="W44" s="119"/>
      <c r="X44" s="119"/>
      <c r="Y44" s="119"/>
      <c r="Z44" s="118"/>
      <c r="AA44" s="120">
        <f t="shared" si="1"/>
        <v>0</v>
      </c>
      <c r="AB44" s="111"/>
      <c r="AC44" s="111"/>
      <c r="AD44" s="111"/>
    </row>
    <row r="45">
      <c r="A45" s="117">
        <v>20.0</v>
      </c>
      <c r="B45" s="117" t="s">
        <v>64</v>
      </c>
      <c r="C45" s="119"/>
      <c r="D45" s="117">
        <v>-2000.0</v>
      </c>
      <c r="E45" s="119"/>
      <c r="F45" s="119"/>
      <c r="G45" s="119"/>
      <c r="H45" s="119"/>
      <c r="I45" s="119"/>
      <c r="J45" s="119"/>
      <c r="K45" s="119"/>
      <c r="M45" s="117" t="s">
        <v>72</v>
      </c>
      <c r="N45" s="118"/>
      <c r="O45" s="117">
        <v>2000.0</v>
      </c>
      <c r="P45" s="119"/>
      <c r="Q45" s="119"/>
      <c r="R45" s="119"/>
      <c r="S45" s="119"/>
      <c r="T45" s="119"/>
      <c r="U45" s="119"/>
      <c r="V45" s="118"/>
      <c r="W45" s="119"/>
      <c r="X45" s="119"/>
      <c r="Y45" s="119"/>
      <c r="Z45" s="118"/>
      <c r="AA45" s="120">
        <f t="shared" si="1"/>
        <v>0</v>
      </c>
      <c r="AB45" s="121"/>
      <c r="AC45" s="122"/>
      <c r="AD45" s="122"/>
    </row>
    <row r="46">
      <c r="A46" s="117">
        <v>20.0</v>
      </c>
      <c r="B46" s="117" t="s">
        <v>64</v>
      </c>
      <c r="C46" s="119"/>
      <c r="D46" s="117">
        <v>-200.0</v>
      </c>
      <c r="E46" s="119"/>
      <c r="F46" s="119"/>
      <c r="G46" s="119"/>
      <c r="H46" s="119"/>
      <c r="I46" s="119"/>
      <c r="J46" s="119"/>
      <c r="K46" s="119"/>
      <c r="M46" s="117" t="s">
        <v>81</v>
      </c>
      <c r="N46" s="118"/>
      <c r="O46" s="117">
        <v>200.0</v>
      </c>
      <c r="P46" s="119"/>
      <c r="Q46" s="118"/>
      <c r="R46" s="119"/>
      <c r="S46" s="119"/>
      <c r="T46" s="119"/>
      <c r="U46" s="119"/>
      <c r="V46" s="118"/>
      <c r="W46" s="119"/>
      <c r="X46" s="119"/>
      <c r="Y46" s="119"/>
      <c r="Z46" s="118"/>
      <c r="AA46" s="120">
        <f t="shared" si="1"/>
        <v>0</v>
      </c>
      <c r="AB46" s="122"/>
      <c r="AC46" s="122"/>
      <c r="AD46" s="122"/>
    </row>
    <row r="47">
      <c r="A47" s="117">
        <v>13.0</v>
      </c>
      <c r="B47" s="117" t="s">
        <v>29</v>
      </c>
      <c r="C47" s="117">
        <v>148000.0</v>
      </c>
      <c r="D47" s="118"/>
      <c r="E47" s="119"/>
      <c r="F47" s="119"/>
      <c r="G47" s="119"/>
      <c r="H47" s="119"/>
      <c r="I47" s="119"/>
      <c r="J47" s="119"/>
      <c r="K47" s="119"/>
      <c r="L47" s="119"/>
      <c r="M47" s="118"/>
      <c r="N47" s="118"/>
      <c r="O47" s="119"/>
      <c r="P47" s="119"/>
      <c r="Q47" s="118"/>
      <c r="R47" s="119"/>
      <c r="S47" s="119"/>
      <c r="T47" s="119"/>
      <c r="U47" s="119"/>
      <c r="V47" s="118"/>
      <c r="W47" s="119"/>
      <c r="X47" s="117">
        <v>148000.0</v>
      </c>
      <c r="Y47" s="119"/>
      <c r="Z47" s="118"/>
      <c r="AA47" s="120">
        <f t="shared" si="1"/>
        <v>0</v>
      </c>
      <c r="AB47" s="121"/>
      <c r="AC47" s="122"/>
      <c r="AD47" s="122"/>
    </row>
    <row r="48">
      <c r="A48" s="117">
        <v>7.0</v>
      </c>
      <c r="B48" s="117" t="s">
        <v>103</v>
      </c>
      <c r="C48" s="117">
        <v>-30000.0</v>
      </c>
      <c r="D48" s="117">
        <v>30000.0</v>
      </c>
      <c r="E48" s="119"/>
      <c r="F48" s="119"/>
      <c r="G48" s="119"/>
      <c r="H48" s="119"/>
      <c r="I48" s="119"/>
      <c r="J48" s="119"/>
      <c r="K48" s="119"/>
      <c r="L48" s="119"/>
      <c r="M48" s="118"/>
      <c r="N48" s="118"/>
      <c r="O48" s="118"/>
      <c r="P48" s="119"/>
      <c r="Q48" s="119"/>
      <c r="R48" s="119"/>
      <c r="S48" s="119"/>
      <c r="T48" s="119"/>
      <c r="U48" s="119"/>
      <c r="V48" s="118"/>
      <c r="W48" s="119"/>
      <c r="X48" s="119"/>
      <c r="Y48" s="119"/>
      <c r="Z48" s="118"/>
      <c r="AA48" s="120">
        <f t="shared" si="1"/>
        <v>0</v>
      </c>
      <c r="AB48" s="111"/>
      <c r="AC48" s="111"/>
      <c r="AD48" s="111"/>
    </row>
    <row r="49">
      <c r="A49" s="117">
        <v>28.0</v>
      </c>
      <c r="B49" s="117" t="s">
        <v>103</v>
      </c>
      <c r="C49" s="117">
        <v>-30000.0</v>
      </c>
      <c r="D49" s="117">
        <v>30000.0</v>
      </c>
      <c r="E49" s="119"/>
      <c r="F49" s="119"/>
      <c r="G49" s="119"/>
      <c r="H49" s="119"/>
      <c r="I49" s="119"/>
      <c r="J49" s="119"/>
      <c r="K49" s="119"/>
      <c r="L49" s="119"/>
      <c r="M49" s="118"/>
      <c r="N49" s="118"/>
      <c r="O49" s="118"/>
      <c r="P49" s="119"/>
      <c r="Q49" s="119"/>
      <c r="R49" s="119"/>
      <c r="S49" s="119"/>
      <c r="T49" s="119"/>
      <c r="U49" s="119"/>
      <c r="V49" s="118"/>
      <c r="W49" s="119"/>
      <c r="X49" s="119"/>
      <c r="Y49" s="119"/>
      <c r="Z49" s="118"/>
      <c r="AA49" s="120">
        <f t="shared" si="1"/>
        <v>0</v>
      </c>
      <c r="AB49" s="121"/>
      <c r="AC49" s="122"/>
      <c r="AD49" s="122"/>
    </row>
    <row r="50">
      <c r="A50" s="117">
        <v>27.0</v>
      </c>
      <c r="B50" s="117" t="s">
        <v>122</v>
      </c>
      <c r="C50" s="117">
        <v>-59158.0</v>
      </c>
      <c r="D50" s="118"/>
      <c r="E50" s="119"/>
      <c r="F50" s="119"/>
      <c r="G50" s="119"/>
      <c r="H50" s="119"/>
      <c r="I50" s="119"/>
      <c r="J50" s="119"/>
      <c r="K50" s="119"/>
      <c r="L50" s="119"/>
      <c r="M50" s="117" t="s">
        <v>81</v>
      </c>
      <c r="N50" s="118"/>
      <c r="O50" s="119"/>
      <c r="P50" s="119"/>
      <c r="Q50" s="118"/>
      <c r="R50" s="119"/>
      <c r="S50" s="119"/>
      <c r="T50" s="119"/>
      <c r="U50" s="117">
        <v>-59158.0</v>
      </c>
      <c r="V50" s="118"/>
      <c r="W50" s="119"/>
      <c r="X50" s="119"/>
      <c r="Y50" s="119"/>
      <c r="Z50" s="118"/>
      <c r="AA50" s="120">
        <f t="shared" si="1"/>
        <v>0</v>
      </c>
      <c r="AB50" s="121"/>
      <c r="AC50" s="111"/>
      <c r="AD50" s="111"/>
    </row>
    <row r="51">
      <c r="A51" s="117">
        <v>27.0</v>
      </c>
      <c r="B51" s="117" t="s">
        <v>122</v>
      </c>
      <c r="C51" s="117">
        <v>-18122.0</v>
      </c>
      <c r="D51" s="118"/>
      <c r="E51" s="119"/>
      <c r="F51" s="119"/>
      <c r="G51" s="119"/>
      <c r="H51" s="119"/>
      <c r="I51" s="119"/>
      <c r="J51" s="119"/>
      <c r="K51" s="119"/>
      <c r="L51" s="119"/>
      <c r="M51" s="117" t="s">
        <v>81</v>
      </c>
      <c r="N51" s="118"/>
      <c r="O51" s="119"/>
      <c r="P51" s="119"/>
      <c r="Q51" s="118"/>
      <c r="R51" s="119"/>
      <c r="S51" s="119"/>
      <c r="T51" s="119"/>
      <c r="U51" s="117">
        <v>-18122.0</v>
      </c>
      <c r="V51" s="118"/>
      <c r="W51" s="119"/>
      <c r="X51" s="119"/>
      <c r="Y51" s="119"/>
      <c r="Z51" s="118"/>
      <c r="AA51" s="120">
        <f t="shared" si="1"/>
        <v>0</v>
      </c>
      <c r="AB51" s="121"/>
      <c r="AC51" s="111"/>
      <c r="AD51" s="111"/>
    </row>
    <row r="52">
      <c r="A52" s="135">
        <v>44467.0</v>
      </c>
      <c r="B52" s="117" t="s">
        <v>73</v>
      </c>
      <c r="C52" s="118"/>
      <c r="D52" s="118"/>
      <c r="E52" s="119"/>
      <c r="F52" s="119"/>
      <c r="G52" s="119"/>
      <c r="H52" s="119"/>
      <c r="I52" s="119"/>
      <c r="J52" s="119"/>
      <c r="K52" s="119"/>
      <c r="L52" s="119"/>
      <c r="M52" s="117" t="s">
        <v>72</v>
      </c>
      <c r="N52" s="117">
        <v>164.0</v>
      </c>
      <c r="O52" s="119"/>
      <c r="P52" s="119"/>
      <c r="Q52" s="119"/>
      <c r="R52" s="119"/>
      <c r="S52" s="119"/>
      <c r="T52" s="119"/>
      <c r="U52" s="135">
        <v>164.0</v>
      </c>
      <c r="V52" s="118"/>
      <c r="W52" s="119"/>
      <c r="X52" s="118"/>
      <c r="Y52" s="119"/>
      <c r="Z52" s="118"/>
      <c r="AA52" s="120">
        <f t="shared" si="1"/>
        <v>0</v>
      </c>
      <c r="AB52" s="111"/>
      <c r="AC52" s="111"/>
      <c r="AD52" s="111"/>
    </row>
    <row r="53">
      <c r="A53" s="135">
        <v>44467.0</v>
      </c>
      <c r="B53" s="117" t="s">
        <v>73</v>
      </c>
      <c r="C53" s="118"/>
      <c r="D53" s="118"/>
      <c r="E53" s="119"/>
      <c r="F53" s="119"/>
      <c r="G53" s="119"/>
      <c r="H53" s="119"/>
      <c r="I53" s="119"/>
      <c r="J53" s="119"/>
      <c r="K53" s="119"/>
      <c r="L53" s="119"/>
      <c r="M53" s="117" t="s">
        <v>72</v>
      </c>
      <c r="N53" s="117">
        <v>313.0</v>
      </c>
      <c r="O53" s="119"/>
      <c r="P53" s="119"/>
      <c r="Q53" s="119"/>
      <c r="R53" s="119"/>
      <c r="S53" s="119"/>
      <c r="T53" s="119"/>
      <c r="U53" s="135">
        <v>313.0</v>
      </c>
      <c r="V53" s="118"/>
      <c r="W53" s="119"/>
      <c r="X53" s="119"/>
      <c r="Y53" s="119"/>
      <c r="Z53" s="118"/>
      <c r="AA53" s="120">
        <f t="shared" si="1"/>
        <v>0</v>
      </c>
      <c r="AB53" s="122"/>
      <c r="AC53" s="122"/>
      <c r="AD53" s="122"/>
    </row>
    <row r="54">
      <c r="A54" s="135">
        <v>44466.0</v>
      </c>
      <c r="B54" s="117" t="s">
        <v>74</v>
      </c>
      <c r="C54" s="118"/>
      <c r="D54" s="118"/>
      <c r="E54" s="119"/>
      <c r="F54" s="119"/>
      <c r="G54" s="119"/>
      <c r="H54" s="119"/>
      <c r="I54" s="119"/>
      <c r="J54" s="119"/>
      <c r="K54" s="119"/>
      <c r="L54" s="119"/>
      <c r="M54" s="117" t="s">
        <v>72</v>
      </c>
      <c r="N54" s="117">
        <v>4011.0</v>
      </c>
      <c r="O54" s="119"/>
      <c r="P54" s="119"/>
      <c r="Q54" s="119"/>
      <c r="R54" s="119"/>
      <c r="S54" s="119"/>
      <c r="T54" s="119"/>
      <c r="U54" s="135">
        <v>4011.0</v>
      </c>
      <c r="V54" s="118"/>
      <c r="W54" s="119"/>
      <c r="X54" s="119"/>
      <c r="Y54" s="119"/>
      <c r="Z54" s="118"/>
      <c r="AA54" s="120">
        <f t="shared" si="1"/>
        <v>0</v>
      </c>
      <c r="AB54" s="121"/>
      <c r="AC54" s="122"/>
      <c r="AD54" s="122"/>
    </row>
    <row r="55">
      <c r="A55" s="135">
        <v>44466.0</v>
      </c>
      <c r="B55" s="117" t="s">
        <v>73</v>
      </c>
      <c r="C55" s="118"/>
      <c r="D55" s="118"/>
      <c r="E55" s="119"/>
      <c r="F55" s="119"/>
      <c r="G55" s="119"/>
      <c r="H55" s="119"/>
      <c r="I55" s="119"/>
      <c r="J55" s="119"/>
      <c r="K55" s="119"/>
      <c r="L55" s="119"/>
      <c r="M55" s="117" t="s">
        <v>72</v>
      </c>
      <c r="N55" s="117">
        <v>173.0</v>
      </c>
      <c r="O55" s="119"/>
      <c r="P55" s="119"/>
      <c r="Q55" s="119"/>
      <c r="R55" s="119"/>
      <c r="S55" s="119"/>
      <c r="T55" s="119"/>
      <c r="U55" s="135">
        <v>173.0</v>
      </c>
      <c r="V55" s="118"/>
      <c r="W55" s="119"/>
      <c r="X55" s="119"/>
      <c r="Y55" s="119"/>
      <c r="Z55" s="118"/>
      <c r="AA55" s="120">
        <f t="shared" si="1"/>
        <v>0</v>
      </c>
      <c r="AB55" s="122"/>
      <c r="AC55" s="122"/>
      <c r="AD55" s="122"/>
    </row>
    <row r="56">
      <c r="A56" s="135">
        <v>44465.0</v>
      </c>
      <c r="B56" s="117" t="s">
        <v>123</v>
      </c>
      <c r="C56" s="119"/>
      <c r="D56" s="118"/>
      <c r="E56" s="118"/>
      <c r="F56" s="118"/>
      <c r="G56" s="119"/>
      <c r="H56" s="119"/>
      <c r="I56" s="119"/>
      <c r="J56" s="119"/>
      <c r="K56" s="119"/>
      <c r="L56" s="119"/>
      <c r="M56" s="117" t="s">
        <v>72</v>
      </c>
      <c r="N56" s="117">
        <v>1765.0</v>
      </c>
      <c r="O56" s="119"/>
      <c r="P56" s="119"/>
      <c r="Q56" s="119"/>
      <c r="R56" s="119"/>
      <c r="S56" s="119"/>
      <c r="T56" s="119"/>
      <c r="U56" s="135">
        <v>1765.0</v>
      </c>
      <c r="V56" s="118"/>
      <c r="W56" s="119"/>
      <c r="X56" s="119"/>
      <c r="Y56" s="119"/>
      <c r="Z56" s="118"/>
      <c r="AA56" s="120">
        <f t="shared" si="1"/>
        <v>0</v>
      </c>
      <c r="AB56" s="122"/>
      <c r="AC56" s="122"/>
      <c r="AD56" s="122"/>
    </row>
    <row r="57">
      <c r="A57" s="135">
        <v>44463.0</v>
      </c>
      <c r="B57" s="117" t="s">
        <v>74</v>
      </c>
      <c r="C57" s="119"/>
      <c r="D57" s="118"/>
      <c r="E57" s="118"/>
      <c r="F57" s="118"/>
      <c r="G57" s="119"/>
      <c r="H57" s="119"/>
      <c r="I57" s="119"/>
      <c r="J57" s="119"/>
      <c r="K57" s="119"/>
      <c r="L57" s="119"/>
      <c r="M57" s="117" t="s">
        <v>72</v>
      </c>
      <c r="N57" s="117">
        <v>5383.0</v>
      </c>
      <c r="O57" s="119"/>
      <c r="P57" s="119"/>
      <c r="Q57" s="119"/>
      <c r="R57" s="119"/>
      <c r="S57" s="119"/>
      <c r="T57" s="119"/>
      <c r="U57" s="135">
        <v>5383.0</v>
      </c>
      <c r="V57" s="118"/>
      <c r="W57" s="119"/>
      <c r="X57" s="119"/>
      <c r="Y57" s="119"/>
      <c r="Z57" s="118"/>
      <c r="AA57" s="120">
        <f t="shared" si="1"/>
        <v>0</v>
      </c>
      <c r="AB57" s="122"/>
      <c r="AC57" s="122"/>
      <c r="AD57" s="122"/>
    </row>
    <row r="58">
      <c r="A58" s="135">
        <v>44462.0</v>
      </c>
      <c r="B58" s="117" t="s">
        <v>74</v>
      </c>
      <c r="C58" s="119"/>
      <c r="D58" s="118"/>
      <c r="E58" s="119"/>
      <c r="F58" s="119"/>
      <c r="G58" s="119"/>
      <c r="H58" s="119"/>
      <c r="I58" s="119"/>
      <c r="J58" s="119"/>
      <c r="K58" s="119"/>
      <c r="L58" s="119"/>
      <c r="M58" s="117" t="s">
        <v>72</v>
      </c>
      <c r="N58" s="117">
        <v>1268.0</v>
      </c>
      <c r="O58" s="119"/>
      <c r="P58" s="119"/>
      <c r="Q58" s="119"/>
      <c r="R58" s="119"/>
      <c r="S58" s="119"/>
      <c r="T58" s="119"/>
      <c r="U58" s="135">
        <v>1268.0</v>
      </c>
      <c r="V58" s="118"/>
      <c r="W58" s="119"/>
      <c r="X58" s="119"/>
      <c r="Y58" s="119"/>
      <c r="Z58" s="118"/>
      <c r="AA58" s="120">
        <f t="shared" si="1"/>
        <v>0</v>
      </c>
      <c r="AB58" s="122"/>
      <c r="AC58" s="122"/>
      <c r="AD58" s="122"/>
    </row>
    <row r="59">
      <c r="A59" s="135">
        <v>44462.0</v>
      </c>
      <c r="B59" s="117" t="s">
        <v>73</v>
      </c>
      <c r="C59" s="119"/>
      <c r="D59" s="118"/>
      <c r="E59" s="119"/>
      <c r="F59" s="119"/>
      <c r="G59" s="119"/>
      <c r="H59" s="119"/>
      <c r="I59" s="119"/>
      <c r="J59" s="119"/>
      <c r="K59" s="119"/>
      <c r="L59" s="119"/>
      <c r="M59" s="117" t="s">
        <v>72</v>
      </c>
      <c r="N59" s="117">
        <v>208.0</v>
      </c>
      <c r="O59" s="119"/>
      <c r="P59" s="119"/>
      <c r="Q59" s="118"/>
      <c r="R59" s="119"/>
      <c r="S59" s="119"/>
      <c r="T59" s="119"/>
      <c r="U59" s="135">
        <v>208.0</v>
      </c>
      <c r="V59" s="118"/>
      <c r="W59" s="119"/>
      <c r="X59" s="119"/>
      <c r="Y59" s="119"/>
      <c r="Z59" s="118"/>
      <c r="AA59" s="120">
        <f t="shared" si="1"/>
        <v>0</v>
      </c>
      <c r="AB59" s="111"/>
      <c r="AC59" s="111"/>
      <c r="AD59" s="111"/>
    </row>
    <row r="60">
      <c r="A60" s="135">
        <v>44460.0</v>
      </c>
      <c r="B60" s="117" t="s">
        <v>74</v>
      </c>
      <c r="C60" s="119"/>
      <c r="D60" s="118"/>
      <c r="E60" s="119"/>
      <c r="F60" s="119"/>
      <c r="G60" s="119"/>
      <c r="H60" s="119"/>
      <c r="I60" s="119"/>
      <c r="J60" s="119"/>
      <c r="K60" s="119"/>
      <c r="L60" s="119"/>
      <c r="M60" s="117" t="s">
        <v>72</v>
      </c>
      <c r="N60" s="117">
        <v>7480.0</v>
      </c>
      <c r="O60" s="119"/>
      <c r="P60" s="119"/>
      <c r="Q60" s="118"/>
      <c r="R60" s="119"/>
      <c r="S60" s="119"/>
      <c r="T60" s="119"/>
      <c r="U60" s="135">
        <v>7480.0</v>
      </c>
      <c r="V60" s="118"/>
      <c r="W60" s="119"/>
      <c r="X60" s="119"/>
      <c r="Y60" s="119"/>
      <c r="Z60" s="118"/>
      <c r="AA60" s="120">
        <f t="shared" si="1"/>
        <v>0</v>
      </c>
      <c r="AB60" s="122"/>
      <c r="AC60" s="122"/>
      <c r="AD60" s="122"/>
    </row>
    <row r="61">
      <c r="A61" s="135">
        <v>44459.0</v>
      </c>
      <c r="B61" s="117" t="s">
        <v>73</v>
      </c>
      <c r="C61" s="119"/>
      <c r="D61" s="118"/>
      <c r="E61" s="119"/>
      <c r="F61" s="119"/>
      <c r="G61" s="119"/>
      <c r="H61" s="118"/>
      <c r="I61" s="119"/>
      <c r="J61" s="119"/>
      <c r="K61" s="119"/>
      <c r="L61" s="119"/>
      <c r="M61" s="117" t="s">
        <v>72</v>
      </c>
      <c r="N61" s="117">
        <v>408.0</v>
      </c>
      <c r="O61" s="119"/>
      <c r="P61" s="119"/>
      <c r="Q61" s="118"/>
      <c r="R61" s="119"/>
      <c r="S61" s="119"/>
      <c r="T61" s="119"/>
      <c r="U61" s="135">
        <v>408.0</v>
      </c>
      <c r="V61" s="118"/>
      <c r="W61" s="119"/>
      <c r="X61" s="119"/>
      <c r="Y61" s="119"/>
      <c r="Z61" s="118"/>
      <c r="AA61" s="120">
        <f t="shared" si="1"/>
        <v>0</v>
      </c>
      <c r="AB61" s="122"/>
      <c r="AC61" s="122"/>
      <c r="AD61" s="122"/>
    </row>
    <row r="62">
      <c r="A62" s="135">
        <v>44459.0</v>
      </c>
      <c r="B62" s="117" t="s">
        <v>73</v>
      </c>
      <c r="C62" s="119"/>
      <c r="D62" s="118"/>
      <c r="E62" s="119"/>
      <c r="F62" s="119"/>
      <c r="G62" s="119"/>
      <c r="H62" s="119"/>
      <c r="I62" s="119"/>
      <c r="J62" s="119"/>
      <c r="K62" s="119"/>
      <c r="L62" s="118"/>
      <c r="M62" s="117" t="s">
        <v>72</v>
      </c>
      <c r="N62" s="117">
        <v>626.0</v>
      </c>
      <c r="O62" s="119"/>
      <c r="P62" s="119"/>
      <c r="Q62" s="118"/>
      <c r="R62" s="119"/>
      <c r="S62" s="119"/>
      <c r="T62" s="119"/>
      <c r="U62" s="135">
        <v>626.0</v>
      </c>
      <c r="V62" s="118"/>
      <c r="W62" s="119"/>
      <c r="X62" s="119"/>
      <c r="Y62" s="119"/>
      <c r="Z62" s="118"/>
      <c r="AA62" s="120">
        <f t="shared" si="1"/>
        <v>0</v>
      </c>
      <c r="AB62" s="122"/>
      <c r="AC62" s="122"/>
      <c r="AD62" s="122"/>
    </row>
    <row r="63">
      <c r="A63" s="135">
        <v>44458.0</v>
      </c>
      <c r="B63" s="117" t="s">
        <v>74</v>
      </c>
      <c r="C63" s="119"/>
      <c r="D63" s="118"/>
      <c r="E63" s="119"/>
      <c r="F63" s="119"/>
      <c r="G63" s="119"/>
      <c r="H63" s="119"/>
      <c r="I63" s="119"/>
      <c r="J63" s="119"/>
      <c r="K63" s="119"/>
      <c r="L63" s="119"/>
      <c r="M63" s="117" t="s">
        <v>72</v>
      </c>
      <c r="N63" s="117">
        <v>1879.0</v>
      </c>
      <c r="O63" s="119"/>
      <c r="P63" s="119"/>
      <c r="Q63" s="118"/>
      <c r="R63" s="119"/>
      <c r="S63" s="119"/>
      <c r="T63" s="119"/>
      <c r="U63" s="135">
        <v>1879.0</v>
      </c>
      <c r="V63" s="118"/>
      <c r="W63" s="119"/>
      <c r="X63" s="119"/>
      <c r="Y63" s="119"/>
      <c r="Z63" s="118"/>
      <c r="AA63" s="120">
        <f t="shared" si="1"/>
        <v>0</v>
      </c>
      <c r="AB63" s="122"/>
      <c r="AC63" s="122"/>
      <c r="AD63" s="122"/>
    </row>
    <row r="64">
      <c r="A64" s="135">
        <v>44458.0</v>
      </c>
      <c r="B64" s="117" t="s">
        <v>73</v>
      </c>
      <c r="C64" s="119"/>
      <c r="D64" s="118"/>
      <c r="E64" s="119"/>
      <c r="F64" s="119"/>
      <c r="G64" s="119"/>
      <c r="H64" s="119"/>
      <c r="I64" s="119"/>
      <c r="J64" s="119"/>
      <c r="K64" s="119"/>
      <c r="L64" s="119"/>
      <c r="M64" s="117" t="s">
        <v>72</v>
      </c>
      <c r="N64" s="117">
        <v>213.0</v>
      </c>
      <c r="O64" s="119"/>
      <c r="P64" s="119"/>
      <c r="Q64" s="118"/>
      <c r="R64" s="119"/>
      <c r="S64" s="119"/>
      <c r="T64" s="119"/>
      <c r="U64" s="135">
        <v>213.0</v>
      </c>
      <c r="V64" s="118"/>
      <c r="W64" s="119"/>
      <c r="X64" s="119"/>
      <c r="Y64" s="119"/>
      <c r="Z64" s="118"/>
      <c r="AA64" s="120">
        <f t="shared" si="1"/>
        <v>0</v>
      </c>
      <c r="AB64" s="122"/>
      <c r="AC64" s="122"/>
      <c r="AD64" s="122"/>
    </row>
    <row r="65">
      <c r="A65" s="135">
        <v>44458.0</v>
      </c>
      <c r="B65" s="117" t="s">
        <v>124</v>
      </c>
      <c r="C65" s="119"/>
      <c r="D65" s="118"/>
      <c r="E65" s="119"/>
      <c r="F65" s="119"/>
      <c r="G65" s="119"/>
      <c r="H65" s="119"/>
      <c r="I65" s="119"/>
      <c r="J65" s="119"/>
      <c r="K65" s="119"/>
      <c r="L65" s="119"/>
      <c r="M65" s="117" t="s">
        <v>72</v>
      </c>
      <c r="N65" s="117">
        <v>550.0</v>
      </c>
      <c r="O65" s="118"/>
      <c r="P65" s="119"/>
      <c r="Q65" s="119"/>
      <c r="R65" s="119"/>
      <c r="S65" s="119"/>
      <c r="T65" s="119"/>
      <c r="U65" s="135">
        <v>550.0</v>
      </c>
      <c r="V65" s="118"/>
      <c r="W65" s="119"/>
      <c r="X65" s="119"/>
      <c r="Y65" s="119"/>
      <c r="Z65" s="118"/>
      <c r="AA65" s="120">
        <f t="shared" si="1"/>
        <v>0</v>
      </c>
      <c r="AB65" s="122"/>
      <c r="AC65" s="122"/>
      <c r="AD65" s="122"/>
    </row>
    <row r="66">
      <c r="A66" s="135">
        <v>44455.0</v>
      </c>
      <c r="B66" s="117" t="s">
        <v>74</v>
      </c>
      <c r="C66" s="119"/>
      <c r="D66" s="118"/>
      <c r="E66" s="119"/>
      <c r="F66" s="119"/>
      <c r="G66" s="119"/>
      <c r="H66" s="119"/>
      <c r="I66" s="119"/>
      <c r="J66" s="119"/>
      <c r="K66" s="119"/>
      <c r="L66" s="119"/>
      <c r="M66" s="117" t="s">
        <v>72</v>
      </c>
      <c r="N66" s="117">
        <v>5380.0</v>
      </c>
      <c r="O66" s="118"/>
      <c r="P66" s="119"/>
      <c r="Q66" s="119"/>
      <c r="R66" s="119"/>
      <c r="S66" s="119"/>
      <c r="T66" s="119"/>
      <c r="U66" s="135">
        <v>5380.0</v>
      </c>
      <c r="V66" s="118"/>
      <c r="W66" s="119"/>
      <c r="X66" s="119"/>
      <c r="Y66" s="119"/>
      <c r="Z66" s="118"/>
      <c r="AA66" s="120">
        <f t="shared" si="1"/>
        <v>0</v>
      </c>
      <c r="AB66" s="122"/>
      <c r="AC66" s="122"/>
      <c r="AD66" s="122"/>
    </row>
    <row r="67">
      <c r="A67" s="135">
        <v>44455.0</v>
      </c>
      <c r="B67" s="117" t="s">
        <v>73</v>
      </c>
      <c r="C67" s="118"/>
      <c r="D67" s="119"/>
      <c r="E67" s="119"/>
      <c r="F67" s="119"/>
      <c r="G67" s="119"/>
      <c r="H67" s="119"/>
      <c r="I67" s="119"/>
      <c r="J67" s="119"/>
      <c r="K67" s="119"/>
      <c r="L67" s="119"/>
      <c r="M67" s="117" t="s">
        <v>72</v>
      </c>
      <c r="N67" s="117">
        <v>112.0</v>
      </c>
      <c r="O67" s="119"/>
      <c r="P67" s="119"/>
      <c r="Q67" s="118"/>
      <c r="R67" s="119"/>
      <c r="S67" s="119"/>
      <c r="T67" s="119"/>
      <c r="U67" s="135">
        <v>112.0</v>
      </c>
      <c r="V67" s="118"/>
      <c r="W67" s="119"/>
      <c r="X67" s="119"/>
      <c r="Y67" s="119"/>
      <c r="Z67" s="118"/>
      <c r="AA67" s="120">
        <f t="shared" si="1"/>
        <v>0</v>
      </c>
      <c r="AB67" s="122"/>
      <c r="AC67" s="122"/>
      <c r="AD67" s="122"/>
    </row>
    <row r="68">
      <c r="A68" s="135">
        <v>44453.0</v>
      </c>
      <c r="B68" s="117" t="s">
        <v>73</v>
      </c>
      <c r="C68" s="118"/>
      <c r="D68" s="119"/>
      <c r="E68" s="119"/>
      <c r="F68" s="119"/>
      <c r="G68" s="119"/>
      <c r="H68" s="119"/>
      <c r="I68" s="119"/>
      <c r="J68" s="119"/>
      <c r="K68" s="119"/>
      <c r="L68" s="119"/>
      <c r="M68" s="117" t="s">
        <v>72</v>
      </c>
      <c r="N68" s="117">
        <v>208.0</v>
      </c>
      <c r="O68" s="119"/>
      <c r="P68" s="119"/>
      <c r="Q68" s="119"/>
      <c r="R68" s="119"/>
      <c r="S68" s="119"/>
      <c r="T68" s="119"/>
      <c r="U68" s="135">
        <v>208.0</v>
      </c>
      <c r="V68" s="118"/>
      <c r="W68" s="119"/>
      <c r="X68" s="118"/>
      <c r="Y68" s="119"/>
      <c r="Z68" s="118"/>
      <c r="AA68" s="120">
        <f t="shared" si="1"/>
        <v>0</v>
      </c>
      <c r="AB68" s="122"/>
      <c r="AC68" s="122"/>
      <c r="AD68" s="122"/>
    </row>
    <row r="69">
      <c r="A69" s="135">
        <v>44452.0</v>
      </c>
      <c r="B69" s="117" t="s">
        <v>74</v>
      </c>
      <c r="C69" s="118"/>
      <c r="D69" s="119"/>
      <c r="E69" s="119"/>
      <c r="F69" s="119"/>
      <c r="G69" s="119"/>
      <c r="H69" s="119"/>
      <c r="I69" s="119"/>
      <c r="J69" s="119"/>
      <c r="K69" s="119"/>
      <c r="L69" s="119"/>
      <c r="M69" s="117" t="s">
        <v>72</v>
      </c>
      <c r="N69" s="117">
        <v>3811.0</v>
      </c>
      <c r="O69" s="119"/>
      <c r="P69" s="119"/>
      <c r="Q69" s="119"/>
      <c r="R69" s="119"/>
      <c r="S69" s="119"/>
      <c r="T69" s="119"/>
      <c r="U69" s="135">
        <v>3811.0</v>
      </c>
      <c r="V69" s="118"/>
      <c r="W69" s="119"/>
      <c r="X69" s="118"/>
      <c r="Y69" s="119"/>
      <c r="Z69" s="118"/>
      <c r="AA69" s="120">
        <f t="shared" si="1"/>
        <v>0</v>
      </c>
      <c r="AB69" s="122"/>
      <c r="AC69" s="122"/>
      <c r="AD69" s="122"/>
    </row>
    <row r="70">
      <c r="A70" s="135">
        <v>44450.0</v>
      </c>
      <c r="B70" s="117" t="s">
        <v>73</v>
      </c>
      <c r="C70" s="118"/>
      <c r="D70" s="118"/>
      <c r="E70" s="119"/>
      <c r="F70" s="119"/>
      <c r="G70" s="119"/>
      <c r="H70" s="119"/>
      <c r="I70" s="119"/>
      <c r="J70" s="119"/>
      <c r="K70" s="119"/>
      <c r="L70" s="119"/>
      <c r="M70" s="117" t="s">
        <v>72</v>
      </c>
      <c r="N70" s="117">
        <v>208.0</v>
      </c>
      <c r="O70" s="119"/>
      <c r="P70" s="119"/>
      <c r="Q70" s="119"/>
      <c r="R70" s="119"/>
      <c r="S70" s="119"/>
      <c r="T70" s="119"/>
      <c r="U70" s="135">
        <v>208.0</v>
      </c>
      <c r="V70" s="118"/>
      <c r="W70" s="119"/>
      <c r="X70" s="119"/>
      <c r="Y70" s="119"/>
      <c r="Z70" s="118"/>
      <c r="AA70" s="120">
        <f t="shared" si="1"/>
        <v>0</v>
      </c>
      <c r="AB70" s="122"/>
      <c r="AC70" s="122"/>
      <c r="AD70" s="122"/>
    </row>
    <row r="71">
      <c r="A71" s="135">
        <v>44449.0</v>
      </c>
      <c r="B71" s="117" t="s">
        <v>74</v>
      </c>
      <c r="C71" s="118"/>
      <c r="D71" s="119"/>
      <c r="E71" s="119"/>
      <c r="F71" s="119"/>
      <c r="G71" s="119"/>
      <c r="H71" s="119"/>
      <c r="I71" s="119"/>
      <c r="J71" s="119"/>
      <c r="K71" s="119"/>
      <c r="L71" s="119"/>
      <c r="M71" s="117" t="s">
        <v>72</v>
      </c>
      <c r="N71" s="117">
        <v>5266.0</v>
      </c>
      <c r="O71" s="119"/>
      <c r="P71" s="119"/>
      <c r="Q71" s="119"/>
      <c r="R71" s="119"/>
      <c r="S71" s="119"/>
      <c r="T71" s="119"/>
      <c r="U71" s="135">
        <v>5266.0</v>
      </c>
      <c r="V71" s="118"/>
      <c r="W71" s="119"/>
      <c r="X71" s="119"/>
      <c r="Y71" s="119"/>
      <c r="Z71" s="118"/>
      <c r="AA71" s="120">
        <f t="shared" si="1"/>
        <v>0</v>
      </c>
      <c r="AB71" s="122"/>
      <c r="AC71" s="122"/>
      <c r="AD71" s="122"/>
    </row>
    <row r="72">
      <c r="A72" s="135">
        <v>44448.0</v>
      </c>
      <c r="B72" s="117" t="s">
        <v>73</v>
      </c>
      <c r="C72" s="118"/>
      <c r="D72" s="119"/>
      <c r="E72" s="119"/>
      <c r="F72" s="119"/>
      <c r="G72" s="119"/>
      <c r="H72" s="119"/>
      <c r="I72" s="119"/>
      <c r="J72" s="119"/>
      <c r="K72" s="119"/>
      <c r="L72" s="119"/>
      <c r="M72" s="117" t="s">
        <v>72</v>
      </c>
      <c r="N72" s="117">
        <v>372.0</v>
      </c>
      <c r="O72" s="119"/>
      <c r="P72" s="119"/>
      <c r="Q72" s="119"/>
      <c r="R72" s="119"/>
      <c r="S72" s="119"/>
      <c r="T72" s="119"/>
      <c r="U72" s="135">
        <v>372.0</v>
      </c>
      <c r="V72" s="118"/>
      <c r="W72" s="119"/>
      <c r="X72" s="119"/>
      <c r="Y72" s="119"/>
      <c r="Z72" s="118"/>
      <c r="AA72" s="120">
        <f t="shared" si="1"/>
        <v>0</v>
      </c>
      <c r="AB72" s="122"/>
      <c r="AC72" s="122"/>
      <c r="AD72" s="122"/>
    </row>
    <row r="73">
      <c r="A73" s="135">
        <v>44446.0</v>
      </c>
      <c r="B73" s="117" t="s">
        <v>74</v>
      </c>
      <c r="C73" s="119"/>
      <c r="D73" s="119"/>
      <c r="E73" s="119"/>
      <c r="F73" s="119"/>
      <c r="G73" s="119"/>
      <c r="H73" s="119"/>
      <c r="I73" s="119"/>
      <c r="J73" s="119"/>
      <c r="K73" s="119"/>
      <c r="L73" s="119"/>
      <c r="M73" s="117" t="s">
        <v>72</v>
      </c>
      <c r="N73" s="117">
        <v>3664.0</v>
      </c>
      <c r="O73" s="119"/>
      <c r="P73" s="119"/>
      <c r="Q73" s="119"/>
      <c r="R73" s="119"/>
      <c r="S73" s="119"/>
      <c r="T73" s="119"/>
      <c r="U73" s="135">
        <v>3664.0</v>
      </c>
      <c r="V73" s="118"/>
      <c r="W73" s="119"/>
      <c r="X73" s="119"/>
      <c r="Y73" s="119"/>
      <c r="Z73" s="118"/>
      <c r="AA73" s="120">
        <f t="shared" si="1"/>
        <v>0</v>
      </c>
      <c r="AB73" s="122"/>
      <c r="AC73" s="122"/>
      <c r="AD73" s="122"/>
    </row>
    <row r="74">
      <c r="A74" s="135">
        <v>44446.0</v>
      </c>
      <c r="B74" s="117" t="s">
        <v>74</v>
      </c>
      <c r="C74" s="118"/>
      <c r="D74" s="119"/>
      <c r="E74" s="119"/>
      <c r="F74" s="119"/>
      <c r="G74" s="119"/>
      <c r="H74" s="118"/>
      <c r="I74" s="119"/>
      <c r="J74" s="119"/>
      <c r="K74" s="119"/>
      <c r="L74" s="119"/>
      <c r="M74" s="117" t="s">
        <v>72</v>
      </c>
      <c r="N74" s="117">
        <v>708.0</v>
      </c>
      <c r="O74" s="119"/>
      <c r="P74" s="119"/>
      <c r="Q74" s="118"/>
      <c r="R74" s="119"/>
      <c r="S74" s="119"/>
      <c r="T74" s="119"/>
      <c r="U74" s="135">
        <v>708.0</v>
      </c>
      <c r="V74" s="118"/>
      <c r="W74" s="119"/>
      <c r="X74" s="119"/>
      <c r="Y74" s="119"/>
      <c r="Z74" s="118"/>
      <c r="AA74" s="120">
        <f t="shared" si="1"/>
        <v>0</v>
      </c>
      <c r="AB74" s="122"/>
      <c r="AC74" s="122"/>
      <c r="AD74" s="122"/>
    </row>
    <row r="75">
      <c r="A75" s="135">
        <v>44446.0</v>
      </c>
      <c r="B75" s="117" t="s">
        <v>74</v>
      </c>
      <c r="C75" s="118"/>
      <c r="D75" s="119"/>
      <c r="E75" s="119"/>
      <c r="F75" s="119"/>
      <c r="G75" s="119"/>
      <c r="H75" s="119"/>
      <c r="I75" s="118"/>
      <c r="J75" s="119"/>
      <c r="K75" s="119"/>
      <c r="L75" s="119"/>
      <c r="M75" s="117" t="s">
        <v>72</v>
      </c>
      <c r="N75" s="117">
        <v>429.0</v>
      </c>
      <c r="O75" s="119"/>
      <c r="P75" s="119"/>
      <c r="Q75" s="119"/>
      <c r="R75" s="119"/>
      <c r="S75" s="119"/>
      <c r="T75" s="119"/>
      <c r="U75" s="135">
        <v>429.0</v>
      </c>
      <c r="V75" s="118"/>
      <c r="W75" s="119"/>
      <c r="X75" s="119"/>
      <c r="Y75" s="119"/>
      <c r="Z75" s="118"/>
      <c r="AA75" s="120">
        <f t="shared" si="1"/>
        <v>0</v>
      </c>
      <c r="AB75" s="122"/>
      <c r="AC75" s="122"/>
      <c r="AD75" s="122"/>
    </row>
    <row r="76">
      <c r="A76" s="135">
        <v>44445.0</v>
      </c>
      <c r="B76" s="117" t="s">
        <v>73</v>
      </c>
      <c r="C76" s="119"/>
      <c r="D76" s="119"/>
      <c r="E76" s="119"/>
      <c r="F76" s="119"/>
      <c r="G76" s="119"/>
      <c r="H76" s="119"/>
      <c r="I76" s="119"/>
      <c r="J76" s="119"/>
      <c r="K76" s="119"/>
      <c r="L76" s="119"/>
      <c r="M76" s="117" t="s">
        <v>72</v>
      </c>
      <c r="N76" s="117">
        <v>758.0</v>
      </c>
      <c r="O76" s="119"/>
      <c r="P76" s="119"/>
      <c r="Q76" s="119"/>
      <c r="R76" s="119"/>
      <c r="S76" s="119"/>
      <c r="T76" s="119"/>
      <c r="U76" s="135">
        <v>758.0</v>
      </c>
      <c r="V76" s="118"/>
      <c r="W76" s="119"/>
      <c r="X76" s="119"/>
      <c r="Y76" s="119"/>
      <c r="Z76" s="118"/>
      <c r="AA76" s="120">
        <f t="shared" si="1"/>
        <v>0</v>
      </c>
      <c r="AB76" s="122"/>
      <c r="AC76" s="122"/>
      <c r="AD76" s="122"/>
    </row>
    <row r="77">
      <c r="A77" s="135">
        <v>44443.0</v>
      </c>
      <c r="B77" s="117" t="s">
        <v>74</v>
      </c>
      <c r="C77" s="119"/>
      <c r="D77" s="119"/>
      <c r="E77" s="119"/>
      <c r="F77" s="119"/>
      <c r="G77" s="119"/>
      <c r="H77" s="119"/>
      <c r="I77" s="119"/>
      <c r="J77" s="119"/>
      <c r="K77" s="119"/>
      <c r="L77" s="119"/>
      <c r="M77" s="117" t="s">
        <v>72</v>
      </c>
      <c r="N77" s="117">
        <v>1230.0</v>
      </c>
      <c r="O77" s="119"/>
      <c r="P77" s="119"/>
      <c r="Q77" s="119"/>
      <c r="R77" s="119"/>
      <c r="S77" s="119"/>
      <c r="T77" s="119"/>
      <c r="U77" s="135">
        <v>1230.0</v>
      </c>
      <c r="V77" s="119"/>
      <c r="W77" s="119"/>
      <c r="X77" s="119"/>
      <c r="Y77" s="119"/>
      <c r="Z77" s="119"/>
      <c r="AA77" s="120">
        <f t="shared" si="1"/>
        <v>0</v>
      </c>
      <c r="AB77" s="122"/>
      <c r="AC77" s="122"/>
      <c r="AD77" s="122"/>
    </row>
    <row r="78">
      <c r="A78" s="135">
        <v>44442.0</v>
      </c>
      <c r="B78" s="117" t="s">
        <v>74</v>
      </c>
      <c r="C78" s="119"/>
      <c r="D78" s="119"/>
      <c r="E78" s="119"/>
      <c r="F78" s="119"/>
      <c r="G78" s="119"/>
      <c r="H78" s="119"/>
      <c r="I78" s="119"/>
      <c r="J78" s="119"/>
      <c r="K78" s="119"/>
      <c r="L78" s="119"/>
      <c r="M78" s="117" t="s">
        <v>72</v>
      </c>
      <c r="N78" s="117">
        <v>6258.0</v>
      </c>
      <c r="O78" s="119"/>
      <c r="P78" s="119"/>
      <c r="Q78" s="119"/>
      <c r="R78" s="119"/>
      <c r="S78" s="119"/>
      <c r="T78" s="119"/>
      <c r="U78" s="135">
        <v>6258.0</v>
      </c>
      <c r="V78" s="119"/>
      <c r="W78" s="119"/>
      <c r="X78" s="119"/>
      <c r="Y78" s="119"/>
      <c r="Z78" s="119"/>
      <c r="AA78" s="120">
        <f t="shared" si="1"/>
        <v>0</v>
      </c>
      <c r="AB78" s="122"/>
      <c r="AC78" s="122"/>
      <c r="AD78" s="122"/>
    </row>
    <row r="79">
      <c r="A79" s="135">
        <v>44455.0</v>
      </c>
      <c r="B79" s="117" t="s">
        <v>77</v>
      </c>
      <c r="C79" s="119"/>
      <c r="D79" s="119"/>
      <c r="E79" s="119"/>
      <c r="F79" s="119"/>
      <c r="G79" s="119"/>
      <c r="H79" s="119"/>
      <c r="I79" s="119"/>
      <c r="J79" s="119"/>
      <c r="K79" s="119"/>
      <c r="L79" s="119"/>
      <c r="M79" s="117" t="s">
        <v>72</v>
      </c>
      <c r="N79" s="119"/>
      <c r="O79" s="119"/>
      <c r="P79" s="119"/>
      <c r="Q79" s="117">
        <v>250.0</v>
      </c>
      <c r="R79" s="119"/>
      <c r="S79" s="119"/>
      <c r="T79" s="119"/>
      <c r="U79" s="135">
        <v>250.0</v>
      </c>
      <c r="V79" s="119"/>
      <c r="W79" s="119"/>
      <c r="X79" s="119"/>
      <c r="Y79" s="119"/>
      <c r="Z79" s="119"/>
      <c r="AA79" s="120">
        <f t="shared" si="1"/>
        <v>0</v>
      </c>
      <c r="AB79" s="122"/>
      <c r="AC79" s="122"/>
      <c r="AD79" s="122"/>
    </row>
    <row r="80">
      <c r="A80" s="135">
        <v>44455.0</v>
      </c>
      <c r="B80" s="117" t="s">
        <v>125</v>
      </c>
      <c r="C80" s="119"/>
      <c r="D80" s="119"/>
      <c r="E80" s="119"/>
      <c r="F80" s="119"/>
      <c r="G80" s="119"/>
      <c r="H80" s="119"/>
      <c r="I80" s="119"/>
      <c r="J80" s="119"/>
      <c r="K80" s="119"/>
      <c r="L80" s="119"/>
      <c r="M80" s="117" t="s">
        <v>72</v>
      </c>
      <c r="N80" s="119"/>
      <c r="O80" s="119"/>
      <c r="P80" s="119"/>
      <c r="Q80" s="117">
        <v>224.0</v>
      </c>
      <c r="R80" s="119"/>
      <c r="S80" s="119"/>
      <c r="T80" s="119"/>
      <c r="U80" s="135">
        <v>224.0</v>
      </c>
      <c r="V80" s="119"/>
      <c r="W80" s="119"/>
      <c r="X80" s="119"/>
      <c r="Y80" s="119"/>
      <c r="Z80" s="119"/>
      <c r="AA80" s="120">
        <f t="shared" si="1"/>
        <v>0</v>
      </c>
      <c r="AB80" s="122"/>
      <c r="AC80" s="122"/>
      <c r="AD80" s="122"/>
    </row>
    <row r="81">
      <c r="A81" s="135">
        <v>44462.0</v>
      </c>
      <c r="B81" s="117" t="s">
        <v>126</v>
      </c>
      <c r="C81" s="119"/>
      <c r="D81" s="119"/>
      <c r="E81" s="119"/>
      <c r="F81" s="119"/>
      <c r="G81" s="119"/>
      <c r="H81" s="119"/>
      <c r="I81" s="119"/>
      <c r="J81" s="119"/>
      <c r="K81" s="119"/>
      <c r="M81" s="117" t="s">
        <v>81</v>
      </c>
      <c r="N81" s="119"/>
      <c r="O81" s="119"/>
      <c r="P81" s="117">
        <v>5980.0</v>
      </c>
      <c r="Q81" s="119"/>
      <c r="R81" s="119"/>
      <c r="S81" s="119"/>
      <c r="T81" s="119"/>
      <c r="U81" s="135">
        <v>5980.0</v>
      </c>
      <c r="V81" s="119"/>
      <c r="W81" s="119"/>
      <c r="X81" s="119"/>
      <c r="Y81" s="119"/>
      <c r="Z81" s="119"/>
      <c r="AA81" s="120">
        <f t="shared" si="1"/>
        <v>0</v>
      </c>
      <c r="AB81" s="122"/>
      <c r="AC81" s="122"/>
      <c r="AD81" s="122"/>
    </row>
    <row r="82">
      <c r="A82" s="135">
        <v>44462.0</v>
      </c>
      <c r="B82" s="117" t="s">
        <v>127</v>
      </c>
      <c r="C82" s="119"/>
      <c r="D82" s="119"/>
      <c r="E82" s="119"/>
      <c r="F82" s="119"/>
      <c r="G82" s="119"/>
      <c r="H82" s="119"/>
      <c r="I82" s="119"/>
      <c r="J82" s="119"/>
      <c r="K82" s="119"/>
      <c r="M82" s="117" t="s">
        <v>72</v>
      </c>
      <c r="N82" s="117">
        <v>1160.0</v>
      </c>
      <c r="O82" s="119"/>
      <c r="P82" s="119"/>
      <c r="Q82" s="119"/>
      <c r="R82" s="119"/>
      <c r="S82" s="119"/>
      <c r="T82" s="119"/>
      <c r="U82" s="135">
        <v>1160.0</v>
      </c>
      <c r="V82" s="119"/>
      <c r="W82" s="119"/>
      <c r="X82" s="119"/>
      <c r="Y82" s="119"/>
      <c r="Z82" s="119"/>
      <c r="AA82" s="120">
        <f t="shared" si="1"/>
        <v>0</v>
      </c>
      <c r="AB82" s="122"/>
      <c r="AC82" s="122"/>
      <c r="AD82" s="122"/>
    </row>
    <row r="83">
      <c r="A83" s="135">
        <v>44459.0</v>
      </c>
      <c r="B83" s="117" t="s">
        <v>128</v>
      </c>
      <c r="C83" s="119"/>
      <c r="D83" s="119"/>
      <c r="E83" s="119"/>
      <c r="F83" s="119"/>
      <c r="G83" s="119"/>
      <c r="H83" s="119"/>
      <c r="I83" s="119"/>
      <c r="J83" s="119"/>
      <c r="K83" s="119"/>
      <c r="M83" s="117" t="s">
        <v>72</v>
      </c>
      <c r="N83" s="117">
        <v>981.0</v>
      </c>
      <c r="O83" s="119"/>
      <c r="P83" s="119"/>
      <c r="Q83" s="119"/>
      <c r="R83" s="119"/>
      <c r="S83" s="119"/>
      <c r="T83" s="119"/>
      <c r="U83" s="135">
        <v>981.0</v>
      </c>
      <c r="V83" s="119"/>
      <c r="W83" s="119"/>
      <c r="X83" s="119"/>
      <c r="Y83" s="119"/>
      <c r="Z83" s="119"/>
      <c r="AA83" s="120">
        <f t="shared" si="1"/>
        <v>0</v>
      </c>
      <c r="AB83" s="122"/>
      <c r="AC83" s="122"/>
      <c r="AD83" s="122"/>
    </row>
    <row r="84">
      <c r="A84" s="135">
        <v>44452.0</v>
      </c>
      <c r="B84" s="117" t="s">
        <v>129</v>
      </c>
      <c r="C84" s="119"/>
      <c r="D84" s="119"/>
      <c r="E84" s="119"/>
      <c r="F84" s="119"/>
      <c r="G84" s="119"/>
      <c r="H84" s="119"/>
      <c r="I84" s="119"/>
      <c r="J84" s="119"/>
      <c r="K84" s="119"/>
      <c r="M84" s="117" t="s">
        <v>72</v>
      </c>
      <c r="O84" s="119"/>
      <c r="P84" s="119"/>
      <c r="Q84" s="117">
        <v>180.0</v>
      </c>
      <c r="R84" s="119"/>
      <c r="S84" s="119"/>
      <c r="T84" s="119"/>
      <c r="U84" s="135">
        <v>180.0</v>
      </c>
      <c r="V84" s="119"/>
      <c r="W84" s="119"/>
      <c r="X84" s="119"/>
      <c r="Y84" s="119"/>
      <c r="Z84" s="119"/>
      <c r="AA84" s="120">
        <f t="shared" si="1"/>
        <v>0</v>
      </c>
      <c r="AB84" s="122"/>
      <c r="AC84" s="122"/>
      <c r="AD84" s="122"/>
    </row>
    <row r="85">
      <c r="A85" s="135">
        <v>44463.0</v>
      </c>
      <c r="B85" s="117" t="s">
        <v>130</v>
      </c>
      <c r="C85" s="119"/>
      <c r="D85" s="119"/>
      <c r="E85" s="119"/>
      <c r="F85" s="119"/>
      <c r="G85" s="119"/>
      <c r="H85" s="119"/>
      <c r="I85" s="119"/>
      <c r="J85" s="119"/>
      <c r="K85" s="119"/>
      <c r="M85" s="117" t="s">
        <v>72</v>
      </c>
      <c r="N85" s="119"/>
      <c r="O85" s="119"/>
      <c r="P85" s="117">
        <v>149700.0</v>
      </c>
      <c r="Q85" s="119"/>
      <c r="R85" s="119"/>
      <c r="S85" s="119"/>
      <c r="T85" s="119"/>
      <c r="U85" s="135">
        <v>149700.0</v>
      </c>
      <c r="V85" s="119"/>
      <c r="W85" s="119"/>
      <c r="X85" s="119"/>
      <c r="Y85" s="119"/>
      <c r="Z85" s="119"/>
      <c r="AA85" s="120">
        <f t="shared" si="1"/>
        <v>0</v>
      </c>
      <c r="AB85" s="122"/>
      <c r="AC85" s="122"/>
      <c r="AD85" s="122"/>
    </row>
    <row r="86">
      <c r="A86" s="135">
        <v>44462.0</v>
      </c>
      <c r="B86" s="117" t="s">
        <v>131</v>
      </c>
      <c r="C86" s="119"/>
      <c r="D86" s="119"/>
      <c r="E86" s="119"/>
      <c r="F86" s="119"/>
      <c r="G86" s="119"/>
      <c r="H86" s="119"/>
      <c r="I86" s="119"/>
      <c r="J86" s="119"/>
      <c r="K86" s="119"/>
      <c r="M86" s="117" t="s">
        <v>79</v>
      </c>
      <c r="N86" s="119"/>
      <c r="O86" s="119"/>
      <c r="P86" s="119"/>
      <c r="Q86" s="117">
        <v>4542.0</v>
      </c>
      <c r="R86" s="119"/>
      <c r="S86" s="119"/>
      <c r="T86" s="119"/>
      <c r="U86" s="135">
        <v>4542.0</v>
      </c>
      <c r="V86" s="119"/>
      <c r="W86" s="119"/>
      <c r="X86" s="119"/>
      <c r="Y86" s="119"/>
      <c r="Z86" s="119"/>
      <c r="AA86" s="120">
        <f t="shared" si="1"/>
        <v>0</v>
      </c>
      <c r="AB86" s="122"/>
      <c r="AC86" s="122"/>
      <c r="AD86" s="122"/>
    </row>
    <row r="87">
      <c r="A87" s="135">
        <v>44455.0</v>
      </c>
      <c r="B87" s="117" t="s">
        <v>132</v>
      </c>
      <c r="C87" s="119"/>
      <c r="D87" s="119"/>
      <c r="E87" s="119"/>
      <c r="F87" s="119"/>
      <c r="G87" s="119"/>
      <c r="H87" s="119"/>
      <c r="I87" s="119"/>
      <c r="J87" s="119"/>
      <c r="K87" s="119"/>
      <c r="M87" s="117" t="s">
        <v>72</v>
      </c>
      <c r="N87" s="119"/>
      <c r="O87" s="119"/>
      <c r="P87" s="117">
        <v>300.0</v>
      </c>
      <c r="Q87" s="119"/>
      <c r="R87" s="119"/>
      <c r="S87" s="119"/>
      <c r="T87" s="119"/>
      <c r="U87" s="135">
        <v>300.0</v>
      </c>
      <c r="V87" s="119"/>
      <c r="W87" s="119"/>
      <c r="X87" s="119"/>
      <c r="Y87" s="119"/>
      <c r="Z87" s="119"/>
      <c r="AA87" s="120">
        <f t="shared" si="1"/>
        <v>0</v>
      </c>
      <c r="AB87" s="122"/>
      <c r="AC87" s="122"/>
      <c r="AD87" s="122"/>
    </row>
    <row r="88">
      <c r="A88" s="135">
        <v>44446.0</v>
      </c>
      <c r="B88" s="117" t="s">
        <v>133</v>
      </c>
      <c r="C88" s="119"/>
      <c r="D88" s="119"/>
      <c r="E88" s="119"/>
      <c r="F88" s="119"/>
      <c r="G88" s="119"/>
      <c r="H88" s="119"/>
      <c r="I88" s="119"/>
      <c r="J88" s="119"/>
      <c r="K88" s="119"/>
      <c r="M88" s="117" t="s">
        <v>79</v>
      </c>
      <c r="N88" s="119"/>
      <c r="O88" s="119"/>
      <c r="P88" s="117">
        <v>334.0</v>
      </c>
      <c r="Q88" s="119"/>
      <c r="R88" s="119"/>
      <c r="S88" s="119"/>
      <c r="T88" s="119"/>
      <c r="U88" s="135">
        <v>334.0</v>
      </c>
      <c r="V88" s="119"/>
      <c r="W88" s="119"/>
      <c r="X88" s="119"/>
      <c r="Y88" s="119"/>
      <c r="Z88" s="119"/>
      <c r="AA88" s="120">
        <f t="shared" si="1"/>
        <v>0</v>
      </c>
      <c r="AB88" s="122"/>
      <c r="AC88" s="122"/>
      <c r="AD88" s="122"/>
    </row>
    <row r="89">
      <c r="A89" s="135">
        <v>44466.0</v>
      </c>
      <c r="B89" s="117" t="s">
        <v>134</v>
      </c>
      <c r="C89" s="119"/>
      <c r="D89" s="119"/>
      <c r="E89" s="119"/>
      <c r="F89" s="119"/>
      <c r="G89" s="119"/>
      <c r="H89" s="119"/>
      <c r="I89" s="119"/>
      <c r="J89" s="119"/>
      <c r="K89" s="119"/>
      <c r="M89" s="117" t="s">
        <v>79</v>
      </c>
      <c r="N89" s="119"/>
      <c r="O89" s="119"/>
      <c r="P89" s="117">
        <v>396.0</v>
      </c>
      <c r="Q89" s="119"/>
      <c r="R89" s="119"/>
      <c r="S89" s="119"/>
      <c r="T89" s="119"/>
      <c r="U89" s="135">
        <v>396.0</v>
      </c>
      <c r="V89" s="119"/>
      <c r="W89" s="119"/>
      <c r="X89" s="119"/>
      <c r="Y89" s="119"/>
      <c r="Z89" s="119"/>
      <c r="AA89" s="120">
        <f t="shared" si="1"/>
        <v>0</v>
      </c>
      <c r="AB89" s="122"/>
      <c r="AC89" s="122"/>
      <c r="AD89" s="122"/>
    </row>
    <row r="90">
      <c r="A90" s="135">
        <v>44441.0</v>
      </c>
      <c r="B90" s="117" t="s">
        <v>135</v>
      </c>
      <c r="C90" s="119"/>
      <c r="D90" s="119"/>
      <c r="E90" s="119"/>
      <c r="F90" s="119"/>
      <c r="G90" s="119"/>
      <c r="H90" s="119"/>
      <c r="I90" s="119"/>
      <c r="J90" s="119"/>
      <c r="K90" s="119"/>
      <c r="M90" s="117" t="s">
        <v>72</v>
      </c>
      <c r="N90" s="119"/>
      <c r="O90" s="119"/>
      <c r="P90" s="119"/>
      <c r="Q90" s="117">
        <v>805.0</v>
      </c>
      <c r="R90" s="119"/>
      <c r="S90" s="119"/>
      <c r="T90" s="119"/>
      <c r="U90" s="135">
        <v>805.0</v>
      </c>
      <c r="V90" s="119"/>
      <c r="W90" s="119"/>
      <c r="X90" s="119"/>
      <c r="Y90" s="119"/>
      <c r="Z90" s="119"/>
      <c r="AA90" s="120">
        <f t="shared" si="1"/>
        <v>0</v>
      </c>
      <c r="AB90" s="122"/>
      <c r="AC90" s="122"/>
      <c r="AD90" s="122"/>
    </row>
    <row r="91">
      <c r="A91" s="135">
        <v>44446.0</v>
      </c>
      <c r="B91" s="117" t="s">
        <v>136</v>
      </c>
      <c r="C91" s="119"/>
      <c r="D91" s="119"/>
      <c r="E91" s="119"/>
      <c r="F91" s="119"/>
      <c r="G91" s="119"/>
      <c r="H91" s="119"/>
      <c r="I91" s="119"/>
      <c r="J91" s="119"/>
      <c r="K91" s="119"/>
      <c r="M91" s="117" t="s">
        <v>72</v>
      </c>
      <c r="N91" s="119"/>
      <c r="O91" s="119"/>
      <c r="P91" s="119"/>
      <c r="Q91" s="117">
        <v>998.0</v>
      </c>
      <c r="R91" s="119"/>
      <c r="S91" s="119"/>
      <c r="T91" s="119"/>
      <c r="U91" s="135">
        <v>998.0</v>
      </c>
      <c r="V91" s="119"/>
      <c r="W91" s="119"/>
      <c r="X91" s="119"/>
      <c r="Y91" s="119"/>
      <c r="Z91" s="119"/>
      <c r="AA91" s="120">
        <f t="shared" si="1"/>
        <v>0</v>
      </c>
      <c r="AB91" s="122"/>
      <c r="AC91" s="122"/>
      <c r="AD91" s="122"/>
    </row>
    <row r="92">
      <c r="A92" s="135">
        <v>44455.0</v>
      </c>
      <c r="B92" s="117" t="s">
        <v>137</v>
      </c>
      <c r="C92" s="119"/>
      <c r="D92" s="119"/>
      <c r="E92" s="119"/>
      <c r="F92" s="119"/>
      <c r="G92" s="119"/>
      <c r="H92" s="119"/>
      <c r="I92" s="119"/>
      <c r="J92" s="119"/>
      <c r="K92" s="119"/>
      <c r="M92" s="117" t="s">
        <v>72</v>
      </c>
      <c r="N92" s="117">
        <v>1134.0</v>
      </c>
      <c r="O92" s="119"/>
      <c r="P92" s="119"/>
      <c r="Q92" s="119"/>
      <c r="R92" s="119"/>
      <c r="S92" s="119"/>
      <c r="T92" s="119"/>
      <c r="U92" s="135">
        <v>1134.0</v>
      </c>
      <c r="V92" s="119"/>
      <c r="W92" s="119"/>
      <c r="X92" s="119"/>
      <c r="Y92" s="119"/>
      <c r="Z92" s="119"/>
      <c r="AA92" s="120">
        <f t="shared" si="1"/>
        <v>0</v>
      </c>
      <c r="AB92" s="122"/>
      <c r="AC92" s="122"/>
      <c r="AD92" s="122"/>
    </row>
    <row r="93">
      <c r="A93" s="135">
        <v>44466.0</v>
      </c>
      <c r="B93" s="117" t="s">
        <v>138</v>
      </c>
      <c r="C93" s="119"/>
      <c r="D93" s="119"/>
      <c r="E93" s="119"/>
      <c r="F93" s="119"/>
      <c r="G93" s="119"/>
      <c r="H93" s="119"/>
      <c r="I93" s="119"/>
      <c r="J93" s="119"/>
      <c r="K93" s="119"/>
      <c r="M93" s="117" t="s">
        <v>72</v>
      </c>
      <c r="N93" s="119"/>
      <c r="O93" s="119"/>
      <c r="P93" s="119"/>
      <c r="Q93" s="117">
        <v>1264.0</v>
      </c>
      <c r="R93" s="119"/>
      <c r="S93" s="119"/>
      <c r="T93" s="119"/>
      <c r="U93" s="135">
        <v>1264.0</v>
      </c>
      <c r="V93" s="119"/>
      <c r="W93" s="119"/>
      <c r="X93" s="119"/>
      <c r="Y93" s="119"/>
      <c r="Z93" s="119"/>
      <c r="AA93" s="120">
        <f t="shared" si="1"/>
        <v>0</v>
      </c>
      <c r="AB93" s="122"/>
      <c r="AC93" s="122"/>
      <c r="AD93" s="122"/>
    </row>
    <row r="94">
      <c r="A94" s="135">
        <v>44446.0</v>
      </c>
      <c r="B94" s="117" t="s">
        <v>139</v>
      </c>
      <c r="C94" s="119"/>
      <c r="D94" s="119"/>
      <c r="E94" s="119"/>
      <c r="F94" s="119"/>
      <c r="G94" s="119"/>
      <c r="H94" s="119"/>
      <c r="I94" s="119"/>
      <c r="J94" s="119"/>
      <c r="K94" s="119"/>
      <c r="M94" s="117" t="s">
        <v>72</v>
      </c>
      <c r="N94" s="119"/>
      <c r="O94" s="119"/>
      <c r="P94" s="119"/>
      <c r="Q94" s="117">
        <v>1718.0</v>
      </c>
      <c r="R94" s="119"/>
      <c r="S94" s="119"/>
      <c r="T94" s="119"/>
      <c r="U94" s="135">
        <v>1718.0</v>
      </c>
      <c r="V94" s="119"/>
      <c r="W94" s="119"/>
      <c r="X94" s="119"/>
      <c r="Y94" s="119"/>
      <c r="Z94" s="119"/>
      <c r="AA94" s="120">
        <f t="shared" si="1"/>
        <v>0</v>
      </c>
      <c r="AB94" s="122"/>
      <c r="AC94" s="122"/>
      <c r="AD94" s="122"/>
    </row>
    <row r="95">
      <c r="A95" s="135">
        <v>44469.0</v>
      </c>
      <c r="B95" s="117" t="s">
        <v>140</v>
      </c>
      <c r="C95" s="119"/>
      <c r="D95" s="119"/>
      <c r="E95" s="119"/>
      <c r="F95" s="119"/>
      <c r="G95" s="119"/>
      <c r="H95" s="119"/>
      <c r="I95" s="119"/>
      <c r="J95" s="119"/>
      <c r="K95" s="119"/>
      <c r="M95" s="117" t="s">
        <v>72</v>
      </c>
      <c r="N95" s="119"/>
      <c r="O95" s="119"/>
      <c r="P95" s="117">
        <v>1773.0</v>
      </c>
      <c r="Q95" s="119"/>
      <c r="R95" s="119"/>
      <c r="S95" s="119"/>
      <c r="T95" s="119"/>
      <c r="U95" s="135">
        <v>1773.0</v>
      </c>
      <c r="V95" s="119"/>
      <c r="W95" s="119"/>
      <c r="X95" s="119"/>
      <c r="Y95" s="119"/>
      <c r="Z95" s="119"/>
      <c r="AA95" s="120">
        <f t="shared" si="1"/>
        <v>0</v>
      </c>
      <c r="AB95" s="122"/>
      <c r="AC95" s="122"/>
      <c r="AD95" s="122"/>
    </row>
    <row r="96">
      <c r="A96" s="135">
        <v>44446.0</v>
      </c>
      <c r="B96" s="117" t="s">
        <v>141</v>
      </c>
      <c r="C96" s="119"/>
      <c r="D96" s="119"/>
      <c r="E96" s="119"/>
      <c r="F96" s="119"/>
      <c r="G96" s="119"/>
      <c r="H96" s="119"/>
      <c r="I96" s="119"/>
      <c r="J96" s="119"/>
      <c r="K96" s="119"/>
      <c r="M96" s="117" t="s">
        <v>79</v>
      </c>
      <c r="N96" s="119"/>
      <c r="O96" s="119"/>
      <c r="P96" s="119"/>
      <c r="Q96" s="117">
        <v>1900.0</v>
      </c>
      <c r="R96" s="119"/>
      <c r="S96" s="119"/>
      <c r="T96" s="119"/>
      <c r="U96" s="135">
        <v>1900.0</v>
      </c>
      <c r="V96" s="119"/>
      <c r="W96" s="119"/>
      <c r="X96" s="119"/>
      <c r="Y96" s="119"/>
      <c r="Z96" s="119"/>
      <c r="AA96" s="120">
        <f t="shared" si="1"/>
        <v>0</v>
      </c>
      <c r="AB96" s="122"/>
      <c r="AC96" s="122"/>
      <c r="AD96" s="122"/>
    </row>
    <row r="97">
      <c r="A97" s="135">
        <v>44469.0</v>
      </c>
      <c r="B97" s="117" t="s">
        <v>142</v>
      </c>
      <c r="C97" s="119"/>
      <c r="D97" s="119"/>
      <c r="E97" s="119"/>
      <c r="F97" s="119"/>
      <c r="G97" s="119"/>
      <c r="H97" s="119"/>
      <c r="I97" s="119"/>
      <c r="J97" s="119"/>
      <c r="K97" s="119"/>
      <c r="M97" s="117" t="s">
        <v>72</v>
      </c>
      <c r="N97" s="119"/>
      <c r="O97" s="119"/>
      <c r="P97" s="117">
        <v>2208.0</v>
      </c>
      <c r="Q97" s="119"/>
      <c r="R97" s="119"/>
      <c r="S97" s="119"/>
      <c r="T97" s="119"/>
      <c r="U97" s="135">
        <v>2208.0</v>
      </c>
      <c r="V97" s="119"/>
      <c r="W97" s="119"/>
      <c r="X97" s="119"/>
      <c r="Y97" s="119"/>
      <c r="Z97" s="119"/>
      <c r="AA97" s="120">
        <f t="shared" si="1"/>
        <v>0</v>
      </c>
      <c r="AB97" s="122"/>
      <c r="AC97" s="122"/>
      <c r="AD97" s="122"/>
    </row>
    <row r="98">
      <c r="A98" s="135">
        <v>44447.0</v>
      </c>
      <c r="B98" s="117" t="s">
        <v>143</v>
      </c>
      <c r="C98" s="119"/>
      <c r="D98" s="119"/>
      <c r="E98" s="119"/>
      <c r="F98" s="119"/>
      <c r="G98" s="119"/>
      <c r="H98" s="119"/>
      <c r="I98" s="119"/>
      <c r="J98" s="119"/>
      <c r="K98" s="119"/>
      <c r="M98" s="117" t="s">
        <v>72</v>
      </c>
      <c r="N98" s="119"/>
      <c r="O98" s="119"/>
      <c r="P98" s="119"/>
      <c r="Q98" s="117">
        <v>2478.0</v>
      </c>
      <c r="R98" s="119"/>
      <c r="S98" s="119"/>
      <c r="T98" s="119"/>
      <c r="U98" s="135">
        <v>2478.0</v>
      </c>
      <c r="V98" s="119"/>
      <c r="W98" s="119"/>
      <c r="X98" s="119"/>
      <c r="Y98" s="119"/>
      <c r="Z98" s="119"/>
      <c r="AA98" s="120">
        <f t="shared" si="1"/>
        <v>0</v>
      </c>
      <c r="AB98" s="122"/>
      <c r="AC98" s="122"/>
      <c r="AD98" s="122"/>
    </row>
    <row r="99">
      <c r="A99" s="135">
        <v>44458.0</v>
      </c>
      <c r="B99" s="117" t="s">
        <v>144</v>
      </c>
      <c r="C99" s="119"/>
      <c r="D99" s="119"/>
      <c r="E99" s="119"/>
      <c r="F99" s="119"/>
      <c r="G99" s="119"/>
      <c r="H99" s="119"/>
      <c r="I99" s="119"/>
      <c r="J99" s="119"/>
      <c r="K99" s="119"/>
      <c r="M99" s="117" t="s">
        <v>72</v>
      </c>
      <c r="N99" s="117">
        <v>2922.0</v>
      </c>
      <c r="O99" s="119"/>
      <c r="P99" s="119"/>
      <c r="Q99" s="119"/>
      <c r="R99" s="119"/>
      <c r="S99" s="119"/>
      <c r="T99" s="119"/>
      <c r="U99" s="135">
        <v>2922.0</v>
      </c>
      <c r="V99" s="119"/>
      <c r="W99" s="119"/>
      <c r="X99" s="119"/>
      <c r="Y99" s="119"/>
      <c r="Z99" s="119"/>
      <c r="AA99" s="120">
        <f t="shared" si="1"/>
        <v>0</v>
      </c>
      <c r="AB99" s="122"/>
      <c r="AC99" s="122"/>
      <c r="AD99" s="122"/>
    </row>
    <row r="100">
      <c r="A100" s="135">
        <v>44454.0</v>
      </c>
      <c r="B100" s="117" t="s">
        <v>145</v>
      </c>
      <c r="C100" s="119"/>
      <c r="D100" s="119"/>
      <c r="E100" s="119"/>
      <c r="F100" s="119"/>
      <c r="G100" s="119"/>
      <c r="H100" s="119"/>
      <c r="I100" s="119"/>
      <c r="J100" s="119"/>
      <c r="K100" s="119"/>
      <c r="M100" s="117" t="s">
        <v>72</v>
      </c>
      <c r="N100" s="119"/>
      <c r="O100" s="119"/>
      <c r="P100" s="117">
        <v>3373.0</v>
      </c>
      <c r="Q100" s="119"/>
      <c r="R100" s="119"/>
      <c r="S100" s="119"/>
      <c r="T100" s="119"/>
      <c r="U100" s="135">
        <v>3373.0</v>
      </c>
      <c r="V100" s="119"/>
      <c r="W100" s="119"/>
      <c r="X100" s="119"/>
      <c r="Y100" s="119"/>
      <c r="Z100" s="119"/>
      <c r="AA100" s="120">
        <f t="shared" si="1"/>
        <v>0</v>
      </c>
      <c r="AB100" s="122"/>
      <c r="AC100" s="122"/>
      <c r="AD100" s="122"/>
    </row>
    <row r="101">
      <c r="A101" s="135">
        <v>44454.0</v>
      </c>
      <c r="B101" s="117" t="s">
        <v>146</v>
      </c>
      <c r="C101" s="119"/>
      <c r="D101" s="119"/>
      <c r="E101" s="119"/>
      <c r="F101" s="119"/>
      <c r="G101" s="119"/>
      <c r="H101" s="119"/>
      <c r="I101" s="119"/>
      <c r="J101" s="119"/>
      <c r="K101" s="119"/>
      <c r="M101" s="117" t="s">
        <v>81</v>
      </c>
      <c r="N101" s="119"/>
      <c r="O101" s="119"/>
      <c r="P101" s="119"/>
      <c r="Q101" s="117">
        <v>7480.0</v>
      </c>
      <c r="R101" s="119"/>
      <c r="S101" s="119"/>
      <c r="T101" s="119"/>
      <c r="U101" s="135">
        <v>7480.0</v>
      </c>
      <c r="V101" s="119"/>
      <c r="W101" s="119"/>
      <c r="X101" s="119"/>
      <c r="Y101" s="119"/>
      <c r="Z101" s="119"/>
      <c r="AA101" s="120">
        <f t="shared" si="1"/>
        <v>0</v>
      </c>
      <c r="AB101" s="122"/>
      <c r="AC101" s="122"/>
      <c r="AD101" s="122"/>
    </row>
    <row r="102">
      <c r="A102" s="124">
        <v>10.0</v>
      </c>
      <c r="B102" s="125" t="s">
        <v>147</v>
      </c>
      <c r="C102" s="122"/>
      <c r="D102" s="124">
        <v>-2500.0</v>
      </c>
      <c r="E102" s="122"/>
      <c r="F102" s="122"/>
      <c r="G102" s="122"/>
      <c r="H102" s="122"/>
      <c r="I102" s="122"/>
      <c r="J102" s="122"/>
      <c r="K102" s="122"/>
      <c r="L102" s="122"/>
      <c r="M102" s="124" t="s">
        <v>72</v>
      </c>
      <c r="N102" s="124">
        <v>2500.0</v>
      </c>
      <c r="O102" s="122"/>
      <c r="P102" s="122"/>
      <c r="Q102" s="122"/>
      <c r="R102" s="122"/>
      <c r="S102" s="122"/>
      <c r="T102" s="122"/>
      <c r="U102" s="122"/>
      <c r="V102" s="122"/>
      <c r="W102" s="122"/>
      <c r="X102" s="122"/>
      <c r="Y102" s="122"/>
      <c r="Z102" s="122"/>
      <c r="AA102" s="120">
        <f t="shared" si="1"/>
        <v>0</v>
      </c>
      <c r="AB102" s="122"/>
      <c r="AC102" s="122"/>
      <c r="AD102" s="122"/>
    </row>
    <row r="103">
      <c r="A103" s="124">
        <v>13.0</v>
      </c>
      <c r="B103" s="125" t="s">
        <v>148</v>
      </c>
      <c r="C103" s="122"/>
      <c r="D103" s="124">
        <v>-900.0</v>
      </c>
      <c r="E103" s="122"/>
      <c r="F103" s="122"/>
      <c r="G103" s="122"/>
      <c r="H103" s="122"/>
      <c r="I103" s="122"/>
      <c r="J103" s="122"/>
      <c r="K103" s="122"/>
      <c r="L103" s="122"/>
      <c r="M103" s="124" t="s">
        <v>72</v>
      </c>
      <c r="N103" s="124">
        <v>900.0</v>
      </c>
      <c r="O103" s="122"/>
      <c r="P103" s="122"/>
      <c r="Q103" s="122"/>
      <c r="R103" s="122"/>
      <c r="S103" s="122"/>
      <c r="T103" s="122"/>
      <c r="U103" s="122"/>
      <c r="V103" s="122"/>
      <c r="W103" s="122"/>
      <c r="X103" s="122"/>
      <c r="Y103" s="122"/>
      <c r="AA103" s="120">
        <f t="shared" si="1"/>
        <v>0</v>
      </c>
      <c r="AB103" s="122"/>
      <c r="AC103" s="122"/>
      <c r="AD103" s="122"/>
    </row>
    <row r="104">
      <c r="A104" s="124">
        <v>16.0</v>
      </c>
      <c r="B104" s="125" t="s">
        <v>104</v>
      </c>
      <c r="C104" s="122"/>
      <c r="D104" s="122"/>
      <c r="E104" s="122"/>
      <c r="F104" s="122"/>
      <c r="G104" s="122"/>
      <c r="H104" s="122"/>
      <c r="I104" s="122">
        <f>9000*16</f>
        <v>144000</v>
      </c>
      <c r="J104" s="122"/>
      <c r="K104" s="122"/>
      <c r="L104" s="122"/>
      <c r="M104" s="122"/>
      <c r="N104" s="122"/>
      <c r="O104" s="122"/>
      <c r="P104" s="122"/>
      <c r="Q104" s="122"/>
      <c r="R104" s="122"/>
      <c r="S104" s="122"/>
      <c r="T104" s="122"/>
      <c r="U104" s="122"/>
      <c r="V104" s="122"/>
      <c r="W104" s="122"/>
      <c r="X104" s="122"/>
      <c r="Y104" s="122"/>
      <c r="Z104" s="124">
        <v>144000.0</v>
      </c>
      <c r="AA104" s="120">
        <f t="shared" si="1"/>
        <v>0</v>
      </c>
      <c r="AB104" s="122"/>
      <c r="AC104" s="122"/>
      <c r="AD104" s="122"/>
    </row>
    <row r="105">
      <c r="A105" s="124">
        <v>21.0</v>
      </c>
      <c r="B105" s="125" t="s">
        <v>149</v>
      </c>
      <c r="C105" s="122"/>
      <c r="D105" s="122"/>
      <c r="E105" s="122"/>
      <c r="F105" s="122"/>
      <c r="G105" s="122"/>
      <c r="H105" s="122"/>
      <c r="I105" s="122">
        <f>33*16</f>
        <v>528</v>
      </c>
      <c r="J105" s="122"/>
      <c r="K105" s="122"/>
      <c r="L105" s="122"/>
      <c r="M105" s="122"/>
      <c r="N105" s="122"/>
      <c r="O105" s="122"/>
      <c r="P105" s="122"/>
      <c r="Q105" s="122"/>
      <c r="R105" s="122"/>
      <c r="S105" s="122"/>
      <c r="T105" s="122"/>
      <c r="U105" s="122"/>
      <c r="V105" s="122"/>
      <c r="W105" s="122"/>
      <c r="X105" s="122"/>
      <c r="Y105" s="122"/>
      <c r="Z105" s="124">
        <v>528.0</v>
      </c>
      <c r="AA105" s="120">
        <f t="shared" si="1"/>
        <v>0</v>
      </c>
      <c r="AB105" s="122"/>
      <c r="AC105" s="122"/>
      <c r="AD105" s="122"/>
    </row>
    <row r="106">
      <c r="A106" s="124">
        <v>24.0</v>
      </c>
      <c r="B106" s="125" t="s">
        <v>150</v>
      </c>
      <c r="C106" s="122"/>
      <c r="D106" s="122"/>
      <c r="E106" s="122"/>
      <c r="F106" s="122"/>
      <c r="G106" s="122"/>
      <c r="H106" s="122"/>
      <c r="I106" s="122">
        <f>1760*16</f>
        <v>28160</v>
      </c>
      <c r="J106" s="122"/>
      <c r="K106" s="122"/>
      <c r="L106" s="122"/>
      <c r="M106" s="122"/>
      <c r="N106" s="122"/>
      <c r="O106" s="122"/>
      <c r="P106" s="122"/>
      <c r="Q106" s="122"/>
      <c r="R106" s="122"/>
      <c r="S106" s="122"/>
      <c r="T106" s="122"/>
      <c r="U106" s="122"/>
      <c r="V106" s="122"/>
      <c r="W106" s="122"/>
      <c r="X106" s="122"/>
      <c r="Y106" s="122"/>
      <c r="Z106" s="124">
        <v>28160.0</v>
      </c>
      <c r="AA106" s="120">
        <f t="shared" si="1"/>
        <v>0</v>
      </c>
      <c r="AB106" s="122"/>
      <c r="AC106" s="122"/>
      <c r="AD106" s="122"/>
    </row>
    <row r="107">
      <c r="A107" s="124">
        <v>1.0</v>
      </c>
      <c r="B107" s="125" t="s">
        <v>60</v>
      </c>
      <c r="C107" s="122"/>
      <c r="D107" s="122"/>
      <c r="E107" s="122"/>
      <c r="F107" s="122"/>
      <c r="G107" s="122"/>
      <c r="H107" s="124">
        <v>-1700.0</v>
      </c>
      <c r="I107" s="122"/>
      <c r="J107" s="122"/>
      <c r="K107" s="122"/>
      <c r="L107" s="122"/>
      <c r="M107" s="124" t="s">
        <v>81</v>
      </c>
      <c r="N107" s="122"/>
      <c r="O107" s="122"/>
      <c r="P107" s="122"/>
      <c r="Q107" s="124">
        <v>1700.0</v>
      </c>
      <c r="R107" s="122"/>
      <c r="S107" s="122"/>
      <c r="T107" s="122"/>
      <c r="U107" s="122"/>
      <c r="V107" s="122"/>
      <c r="W107" s="122"/>
      <c r="X107" s="122"/>
      <c r="Y107" s="122"/>
      <c r="Z107" s="122"/>
      <c r="AA107" s="120">
        <f t="shared" si="1"/>
        <v>0</v>
      </c>
      <c r="AB107" s="122"/>
      <c r="AC107" s="122"/>
      <c r="AD107" s="122"/>
    </row>
    <row r="108">
      <c r="A108" s="124">
        <v>99.0</v>
      </c>
      <c r="B108" s="125" t="s">
        <v>151</v>
      </c>
      <c r="C108" s="124">
        <v>-1600.0</v>
      </c>
      <c r="D108" s="122"/>
      <c r="E108" s="122"/>
      <c r="F108" s="122"/>
      <c r="G108" s="122"/>
      <c r="H108" s="122"/>
      <c r="I108" s="122"/>
      <c r="J108" s="122"/>
      <c r="K108" s="122"/>
      <c r="L108" s="122"/>
      <c r="M108" s="124" t="s">
        <v>81</v>
      </c>
      <c r="N108" s="122"/>
      <c r="O108" s="122"/>
      <c r="P108" s="122"/>
      <c r="Q108" s="124">
        <v>1600.0</v>
      </c>
      <c r="R108" s="122"/>
      <c r="S108" s="122"/>
      <c r="T108" s="122"/>
      <c r="U108" s="122"/>
      <c r="V108" s="122"/>
      <c r="W108" s="122"/>
      <c r="X108" s="122"/>
      <c r="Y108" s="122"/>
      <c r="Z108" s="122"/>
      <c r="AA108" s="120">
        <f t="shared" si="1"/>
        <v>0</v>
      </c>
      <c r="AB108" s="122"/>
      <c r="AC108" s="122"/>
      <c r="AD108" s="122"/>
    </row>
    <row r="109">
      <c r="A109" s="124"/>
      <c r="B109" s="125"/>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c r="AD109" s="122"/>
    </row>
    <row r="110">
      <c r="A110" s="109"/>
      <c r="B110" s="126"/>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row>
    <row r="111">
      <c r="A111" s="109"/>
      <c r="B111" s="126"/>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c r="AD111" s="122"/>
    </row>
    <row r="112">
      <c r="A112" s="109"/>
      <c r="B112" s="126"/>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c r="AD112" s="122"/>
    </row>
    <row r="113">
      <c r="A113" s="109"/>
      <c r="B113" s="126"/>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row>
    <row r="114">
      <c r="A114" s="109"/>
      <c r="B114" s="126"/>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row>
    <row r="115">
      <c r="A115" s="109"/>
      <c r="B115" s="126"/>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row>
    <row r="116">
      <c r="A116" s="109"/>
      <c r="B116" s="126"/>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c r="AD116" s="122"/>
    </row>
    <row r="117">
      <c r="A117" s="109"/>
      <c r="B117" s="126"/>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2"/>
    </row>
    <row r="118">
      <c r="A118" s="109"/>
      <c r="B118" s="126"/>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c r="AD118" s="122"/>
    </row>
    <row r="119">
      <c r="A119" s="109"/>
      <c r="B119" s="126"/>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c r="AD119" s="122"/>
    </row>
    <row r="120">
      <c r="A120" s="109"/>
      <c r="B120" s="126"/>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row>
    <row r="121">
      <c r="A121" s="109"/>
      <c r="B121" s="126"/>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c r="AD121" s="122"/>
    </row>
    <row r="122">
      <c r="A122" s="109"/>
      <c r="B122" s="126"/>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c r="AD122" s="122"/>
    </row>
    <row r="123">
      <c r="A123" s="109"/>
      <c r="B123" s="126"/>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c r="AD123" s="122"/>
    </row>
    <row r="124">
      <c r="A124" s="109"/>
      <c r="B124" s="126"/>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row>
    <row r="125">
      <c r="A125" s="109"/>
      <c r="B125" s="126"/>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row>
    <row r="126">
      <c r="A126" s="109"/>
      <c r="B126" s="126"/>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c r="AD126" s="122"/>
    </row>
    <row r="127">
      <c r="A127" s="109"/>
      <c r="B127" s="126"/>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c r="AD127" s="122"/>
    </row>
    <row r="128">
      <c r="A128" s="109"/>
      <c r="B128" s="126"/>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c r="AD128" s="122"/>
    </row>
    <row r="129">
      <c r="A129" s="109"/>
      <c r="B129" s="126"/>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row>
    <row r="130">
      <c r="A130" s="109"/>
      <c r="B130" s="126"/>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row>
    <row r="131">
      <c r="A131" s="109"/>
      <c r="B131" s="126"/>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row>
    <row r="132">
      <c r="A132" s="109"/>
      <c r="B132" s="126"/>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c r="AD132" s="122"/>
    </row>
    <row r="133">
      <c r="A133" s="109"/>
      <c r="B133" s="126"/>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c r="AD133" s="122"/>
    </row>
    <row r="134">
      <c r="A134" s="109"/>
      <c r="B134" s="126"/>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c r="AD134" s="122"/>
    </row>
    <row r="135">
      <c r="A135" s="109"/>
      <c r="B135" s="126"/>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c r="AD135" s="122"/>
    </row>
    <row r="136">
      <c r="A136" s="109"/>
      <c r="B136" s="126"/>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2"/>
    </row>
    <row r="137">
      <c r="A137" s="109"/>
      <c r="B137" s="126"/>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c r="AD137" s="122"/>
    </row>
    <row r="138">
      <c r="A138" s="109"/>
      <c r="B138" s="126"/>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2"/>
    </row>
    <row r="139">
      <c r="A139" s="109"/>
      <c r="B139" s="126"/>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row>
    <row r="140">
      <c r="A140" s="109"/>
      <c r="B140" s="126"/>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2"/>
    </row>
    <row r="141">
      <c r="A141" s="109"/>
      <c r="B141" s="126"/>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row>
    <row r="142">
      <c r="A142" s="109"/>
      <c r="B142" s="126"/>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2"/>
    </row>
    <row r="143">
      <c r="A143" s="109"/>
      <c r="B143" s="126"/>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2"/>
    </row>
    <row r="144">
      <c r="A144" s="109"/>
      <c r="B144" s="126"/>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2"/>
    </row>
    <row r="145">
      <c r="A145" s="109"/>
      <c r="B145" s="126"/>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2"/>
    </row>
    <row r="146">
      <c r="A146" s="109"/>
      <c r="B146" s="126"/>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row>
    <row r="147">
      <c r="A147" s="109"/>
      <c r="B147" s="126"/>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row>
    <row r="148">
      <c r="A148" s="109"/>
      <c r="B148" s="126"/>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2"/>
    </row>
    <row r="149">
      <c r="A149" s="109"/>
      <c r="B149" s="126"/>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2"/>
    </row>
    <row r="150">
      <c r="A150" s="109"/>
      <c r="B150" s="126"/>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row>
    <row r="151">
      <c r="A151" s="109"/>
      <c r="B151" s="126"/>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row>
    <row r="152">
      <c r="A152" s="109"/>
      <c r="B152" s="126"/>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row>
    <row r="153">
      <c r="A153" s="109"/>
      <c r="B153" s="126"/>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c r="AD153" s="122"/>
    </row>
    <row r="154">
      <c r="A154" s="109"/>
      <c r="B154" s="126"/>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2"/>
    </row>
    <row r="155">
      <c r="A155" s="109"/>
      <c r="B155" s="126"/>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c r="AD155" s="122"/>
    </row>
    <row r="156">
      <c r="A156" s="109"/>
      <c r="B156" s="126"/>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c r="AD156" s="122"/>
    </row>
    <row r="157">
      <c r="A157" s="109"/>
      <c r="B157" s="126"/>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c r="AD157" s="122"/>
    </row>
    <row r="158">
      <c r="A158" s="109"/>
      <c r="B158" s="126"/>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c r="AD158" s="122"/>
    </row>
    <row r="159">
      <c r="A159" s="109"/>
      <c r="B159" s="126"/>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c r="AD159" s="122"/>
    </row>
    <row r="160">
      <c r="A160" s="109"/>
      <c r="B160" s="126"/>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row>
    <row r="161">
      <c r="A161" s="109"/>
      <c r="B161" s="126"/>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row>
    <row r="162">
      <c r="A162" s="109"/>
      <c r="B162" s="126"/>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c r="AD162" s="122"/>
    </row>
    <row r="163">
      <c r="A163" s="109"/>
      <c r="B163" s="126"/>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c r="AD163" s="122"/>
    </row>
    <row r="164">
      <c r="A164" s="109"/>
      <c r="B164" s="126"/>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c r="AD164" s="122"/>
    </row>
    <row r="165">
      <c r="A165" s="109"/>
      <c r="B165" s="126"/>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c r="AD165" s="122"/>
    </row>
    <row r="166">
      <c r="A166" s="109"/>
      <c r="B166" s="126"/>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2"/>
    </row>
    <row r="167">
      <c r="A167" s="109"/>
      <c r="B167" s="126"/>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c r="AD167" s="122"/>
    </row>
    <row r="168">
      <c r="A168" s="109"/>
      <c r="B168" s="126"/>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c r="AD168" s="122"/>
    </row>
    <row r="169">
      <c r="A169" s="109"/>
      <c r="B169" s="126"/>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c r="AD169" s="122"/>
    </row>
    <row r="170">
      <c r="A170" s="109"/>
      <c r="B170" s="126"/>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c r="AD170" s="122"/>
    </row>
    <row r="171">
      <c r="A171" s="109"/>
      <c r="B171" s="126"/>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c r="AD171" s="122"/>
    </row>
    <row r="172">
      <c r="A172" s="109"/>
      <c r="B172" s="126"/>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c r="AD172" s="122"/>
    </row>
    <row r="173">
      <c r="A173" s="109"/>
      <c r="B173" s="126"/>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c r="AD173" s="122"/>
    </row>
    <row r="174">
      <c r="A174" s="109"/>
      <c r="B174" s="126"/>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c r="AD174" s="122"/>
    </row>
    <row r="175">
      <c r="A175" s="109"/>
      <c r="B175" s="126"/>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c r="AD175" s="122"/>
    </row>
    <row r="176">
      <c r="A176" s="109"/>
      <c r="B176" s="126"/>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c r="AD176" s="122"/>
    </row>
    <row r="177">
      <c r="A177" s="109"/>
      <c r="B177" s="126"/>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row>
    <row r="178">
      <c r="A178" s="109"/>
      <c r="B178" s="126"/>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c r="AD178" s="122"/>
    </row>
    <row r="179">
      <c r="A179" s="109"/>
      <c r="B179" s="126"/>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row>
    <row r="180">
      <c r="A180" s="109"/>
      <c r="B180" s="126"/>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row>
    <row r="181">
      <c r="A181" s="109"/>
      <c r="B181" s="126"/>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row>
    <row r="182">
      <c r="A182" s="109"/>
      <c r="B182" s="126"/>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row>
    <row r="183">
      <c r="A183" s="109"/>
      <c r="B183" s="126"/>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row>
    <row r="184">
      <c r="A184" s="109"/>
      <c r="B184" s="126"/>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row>
    <row r="185">
      <c r="A185" s="109"/>
      <c r="B185" s="126"/>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row>
    <row r="186">
      <c r="A186" s="109"/>
      <c r="B186" s="126"/>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row>
    <row r="187">
      <c r="A187" s="109"/>
      <c r="B187" s="126"/>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c r="AD187" s="122"/>
    </row>
    <row r="188">
      <c r="A188" s="109"/>
      <c r="B188" s="126"/>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c r="AD188" s="122"/>
    </row>
    <row r="189">
      <c r="A189" s="109"/>
      <c r="B189" s="126"/>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c r="AD189" s="122"/>
    </row>
    <row r="190">
      <c r="A190" s="109"/>
      <c r="B190" s="126"/>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c r="AD190" s="122"/>
    </row>
    <row r="191">
      <c r="A191" s="109"/>
      <c r="B191" s="126"/>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row>
    <row r="192">
      <c r="A192" s="109"/>
      <c r="B192" s="126"/>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c r="AD192" s="122"/>
    </row>
    <row r="193">
      <c r="A193" s="109"/>
      <c r="B193" s="126"/>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c r="AD193" s="122"/>
    </row>
    <row r="194">
      <c r="A194" s="109"/>
      <c r="B194" s="126"/>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c r="AD194" s="122"/>
    </row>
    <row r="195">
      <c r="A195" s="109"/>
      <c r="B195" s="126"/>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row>
    <row r="196">
      <c r="A196" s="109"/>
      <c r="B196" s="126"/>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row>
    <row r="197">
      <c r="A197" s="109"/>
      <c r="B197" s="126"/>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row>
    <row r="198">
      <c r="A198" s="109"/>
      <c r="B198" s="126"/>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c r="AD198" s="122"/>
    </row>
    <row r="199">
      <c r="A199" s="109"/>
      <c r="B199" s="126"/>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c r="AD199" s="122"/>
    </row>
    <row r="200">
      <c r="A200" s="109"/>
      <c r="B200" s="126"/>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c r="AD200" s="122"/>
    </row>
    <row r="201">
      <c r="A201" s="109"/>
      <c r="B201" s="126"/>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c r="AD201" s="122"/>
    </row>
    <row r="202">
      <c r="A202" s="109"/>
      <c r="B202" s="126"/>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c r="AD202" s="122"/>
    </row>
    <row r="203">
      <c r="A203" s="109"/>
      <c r="B203" s="126"/>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c r="AD203" s="122"/>
    </row>
    <row r="204">
      <c r="A204" s="109"/>
      <c r="B204" s="126"/>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row>
    <row r="205">
      <c r="A205" s="109"/>
      <c r="B205" s="126"/>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c r="AD205" s="122"/>
    </row>
    <row r="206">
      <c r="A206" s="109"/>
      <c r="B206" s="126"/>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c r="AD206" s="122"/>
    </row>
    <row r="207">
      <c r="A207" s="109"/>
      <c r="B207" s="126"/>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c r="AD207" s="122"/>
    </row>
    <row r="208">
      <c r="A208" s="109"/>
      <c r="B208" s="126"/>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c r="AD208" s="122"/>
    </row>
    <row r="209">
      <c r="A209" s="109"/>
      <c r="B209" s="126"/>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row>
    <row r="210">
      <c r="A210" s="109"/>
      <c r="B210" s="126"/>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row>
    <row r="211">
      <c r="A211" s="109"/>
      <c r="B211" s="126"/>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c r="AD211" s="122"/>
    </row>
    <row r="212">
      <c r="A212" s="109"/>
      <c r="B212" s="126"/>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row>
    <row r="213">
      <c r="A213" s="109"/>
      <c r="B213" s="126"/>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c r="AD213" s="122"/>
    </row>
    <row r="214">
      <c r="A214" s="109"/>
      <c r="B214" s="126"/>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row>
    <row r="215">
      <c r="A215" s="109"/>
      <c r="B215" s="126"/>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row>
    <row r="216">
      <c r="A216" s="109"/>
      <c r="B216" s="126"/>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row>
    <row r="217">
      <c r="A217" s="109"/>
      <c r="B217" s="126"/>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2"/>
    </row>
    <row r="218">
      <c r="A218" s="109"/>
      <c r="B218" s="126"/>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c r="AD218" s="122"/>
    </row>
    <row r="219">
      <c r="A219" s="109"/>
      <c r="B219" s="126"/>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c r="AD219" s="122"/>
    </row>
    <row r="220">
      <c r="A220" s="109"/>
      <c r="B220" s="126"/>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c r="AD220" s="122"/>
    </row>
    <row r="221">
      <c r="A221" s="109"/>
      <c r="B221" s="126"/>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c r="AD221" s="122"/>
    </row>
    <row r="222">
      <c r="A222" s="109"/>
      <c r="B222" s="126"/>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row>
    <row r="223">
      <c r="A223" s="109"/>
      <c r="B223" s="126"/>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c r="AD223" s="122"/>
    </row>
    <row r="224">
      <c r="A224" s="109"/>
      <c r="B224" s="126"/>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c r="AD224" s="122"/>
    </row>
    <row r="225">
      <c r="A225" s="109"/>
      <c r="B225" s="126"/>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c r="AD225" s="122"/>
    </row>
    <row r="226">
      <c r="A226" s="109"/>
      <c r="B226" s="126"/>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c r="AD226" s="122"/>
    </row>
    <row r="227">
      <c r="A227" s="109"/>
      <c r="B227" s="126"/>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2"/>
    </row>
    <row r="228">
      <c r="A228" s="109"/>
      <c r="B228" s="126"/>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row>
    <row r="229">
      <c r="A229" s="109"/>
      <c r="B229" s="126"/>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c r="AD229" s="122"/>
    </row>
    <row r="230">
      <c r="A230" s="109"/>
      <c r="B230" s="126"/>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c r="AD230" s="122"/>
    </row>
    <row r="231">
      <c r="A231" s="109"/>
      <c r="B231" s="126"/>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c r="AD231" s="122"/>
    </row>
    <row r="232">
      <c r="A232" s="109"/>
      <c r="B232" s="126"/>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c r="AD232" s="122"/>
    </row>
    <row r="233">
      <c r="A233" s="109"/>
      <c r="B233" s="126"/>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c r="AD233" s="122"/>
    </row>
    <row r="234">
      <c r="A234" s="109"/>
      <c r="B234" s="126"/>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c r="AD234" s="122"/>
    </row>
    <row r="235">
      <c r="A235" s="109"/>
      <c r="B235" s="126"/>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c r="AD235" s="122"/>
    </row>
    <row r="236">
      <c r="A236" s="109"/>
      <c r="B236" s="126"/>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c r="AD236" s="122"/>
    </row>
    <row r="237">
      <c r="A237" s="109"/>
      <c r="B237" s="126"/>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c r="AD237" s="122"/>
    </row>
    <row r="238">
      <c r="A238" s="109"/>
      <c r="B238" s="126"/>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c r="AD238" s="122"/>
    </row>
    <row r="239">
      <c r="A239" s="109"/>
      <c r="B239" s="126"/>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c r="AD239" s="122"/>
    </row>
    <row r="240">
      <c r="A240" s="109"/>
      <c r="B240" s="126"/>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c r="AD240" s="122"/>
    </row>
    <row r="241">
      <c r="A241" s="109"/>
      <c r="B241" s="126"/>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c r="AD241" s="122"/>
    </row>
    <row r="242">
      <c r="A242" s="109"/>
      <c r="B242" s="126"/>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c r="AD242" s="122"/>
    </row>
    <row r="243">
      <c r="A243" s="109"/>
      <c r="B243" s="126"/>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c r="AD243" s="122"/>
    </row>
    <row r="244">
      <c r="A244" s="109"/>
      <c r="B244" s="126"/>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c r="AD244" s="122"/>
    </row>
    <row r="245">
      <c r="A245" s="109"/>
      <c r="B245" s="126"/>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c r="AD245" s="122"/>
    </row>
    <row r="246">
      <c r="A246" s="109"/>
      <c r="B246" s="126"/>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c r="AD246" s="122"/>
    </row>
    <row r="247">
      <c r="A247" s="109"/>
      <c r="B247" s="126"/>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c r="AD247" s="122"/>
    </row>
    <row r="248">
      <c r="A248" s="109"/>
      <c r="B248" s="126"/>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c r="AD248" s="122"/>
    </row>
    <row r="249">
      <c r="A249" s="109"/>
      <c r="B249" s="126"/>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c r="AD249" s="122"/>
    </row>
    <row r="250">
      <c r="A250" s="109"/>
      <c r="B250" s="126"/>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c r="AD250" s="122"/>
    </row>
    <row r="251">
      <c r="A251" s="109"/>
      <c r="B251" s="126"/>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c r="AD251" s="122"/>
    </row>
    <row r="252">
      <c r="A252" s="109"/>
      <c r="B252" s="126"/>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c r="AD252" s="122"/>
    </row>
    <row r="253">
      <c r="A253" s="109"/>
      <c r="B253" s="126"/>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c r="AD253" s="122"/>
    </row>
    <row r="254">
      <c r="A254" s="109"/>
      <c r="B254" s="126"/>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c r="AD254" s="122"/>
    </row>
    <row r="255">
      <c r="A255" s="109"/>
      <c r="B255" s="126"/>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c r="AD255" s="122"/>
    </row>
    <row r="256">
      <c r="A256" s="109"/>
      <c r="B256" s="126"/>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c r="AD256" s="122"/>
    </row>
    <row r="257">
      <c r="A257" s="109"/>
      <c r="B257" s="126"/>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c r="AD257" s="122"/>
    </row>
    <row r="258">
      <c r="A258" s="109"/>
      <c r="B258" s="126"/>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c r="AD258" s="122"/>
    </row>
    <row r="259">
      <c r="A259" s="109"/>
      <c r="B259" s="126"/>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c r="AD259" s="122"/>
    </row>
    <row r="260">
      <c r="A260" s="109"/>
      <c r="B260" s="126"/>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c r="AD260" s="122"/>
    </row>
    <row r="261">
      <c r="A261" s="109"/>
      <c r="B261" s="126"/>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c r="AD261" s="122"/>
    </row>
    <row r="262">
      <c r="A262" s="109"/>
      <c r="B262" s="126"/>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c r="AD262" s="122"/>
    </row>
    <row r="263">
      <c r="A263" s="109"/>
      <c r="B263" s="126"/>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c r="AD263" s="122"/>
    </row>
    <row r="264">
      <c r="A264" s="109"/>
      <c r="B264" s="126"/>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c r="AD264" s="122"/>
    </row>
    <row r="265">
      <c r="A265" s="109"/>
      <c r="B265" s="126"/>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c r="AD265" s="122"/>
    </row>
    <row r="266">
      <c r="A266" s="109"/>
      <c r="B266" s="126"/>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c r="AD266" s="122"/>
    </row>
    <row r="267">
      <c r="A267" s="109"/>
      <c r="B267" s="126"/>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2"/>
    </row>
    <row r="268">
      <c r="A268" s="109"/>
      <c r="B268" s="126"/>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c r="AD268" s="122"/>
    </row>
    <row r="269">
      <c r="A269" s="109"/>
      <c r="B269" s="126"/>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c r="AD269" s="122"/>
    </row>
    <row r="270">
      <c r="A270" s="109"/>
      <c r="B270" s="126"/>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c r="AD270" s="122"/>
    </row>
    <row r="271">
      <c r="A271" s="109"/>
      <c r="B271" s="126"/>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c r="AD271" s="122"/>
    </row>
    <row r="272">
      <c r="A272" s="109"/>
      <c r="B272" s="126"/>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c r="AD272" s="122"/>
    </row>
    <row r="273">
      <c r="A273" s="109"/>
      <c r="B273" s="126"/>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c r="AD273" s="122"/>
    </row>
    <row r="274">
      <c r="A274" s="109"/>
      <c r="B274" s="126"/>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2"/>
    </row>
    <row r="275">
      <c r="A275" s="109"/>
      <c r="B275" s="126"/>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c r="AD275" s="122"/>
    </row>
    <row r="276">
      <c r="A276" s="109"/>
      <c r="B276" s="126"/>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c r="AD276" s="122"/>
    </row>
    <row r="277">
      <c r="A277" s="109"/>
      <c r="B277" s="126"/>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c r="AD277" s="122"/>
    </row>
    <row r="278">
      <c r="A278" s="109"/>
      <c r="B278" s="126"/>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c r="AD278" s="122"/>
    </row>
    <row r="279">
      <c r="A279" s="109"/>
      <c r="B279" s="126"/>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c r="AD279" s="122"/>
    </row>
    <row r="280">
      <c r="A280" s="109"/>
      <c r="B280" s="126"/>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c r="AD280" s="122"/>
    </row>
    <row r="281">
      <c r="A281" s="109"/>
      <c r="B281" s="126"/>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c r="AD281" s="122"/>
    </row>
    <row r="282">
      <c r="A282" s="109"/>
      <c r="B282" s="126"/>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c r="AD282" s="122"/>
    </row>
    <row r="283">
      <c r="A283" s="109"/>
      <c r="B283" s="126"/>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c r="AD283" s="122"/>
    </row>
    <row r="284">
      <c r="A284" s="109"/>
      <c r="B284" s="126"/>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c r="AD284" s="122"/>
    </row>
    <row r="285">
      <c r="A285" s="109"/>
      <c r="B285" s="126"/>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c r="AD285" s="122"/>
    </row>
    <row r="286">
      <c r="A286" s="109"/>
      <c r="B286" s="126"/>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c r="AD286" s="122"/>
    </row>
    <row r="287">
      <c r="A287" s="109"/>
      <c r="B287" s="126"/>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c r="AD287" s="122"/>
    </row>
    <row r="288">
      <c r="A288" s="109"/>
      <c r="B288" s="126"/>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2"/>
    </row>
    <row r="289">
      <c r="A289" s="109"/>
      <c r="B289" s="126"/>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c r="AD289" s="122"/>
    </row>
    <row r="290">
      <c r="A290" s="109"/>
      <c r="B290" s="126"/>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c r="AD290" s="122"/>
    </row>
    <row r="291">
      <c r="A291" s="109"/>
      <c r="B291" s="126"/>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c r="AD291" s="122"/>
    </row>
    <row r="292">
      <c r="A292" s="109"/>
      <c r="B292" s="126"/>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2"/>
    </row>
    <row r="293">
      <c r="A293" s="109"/>
      <c r="B293" s="126"/>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row>
    <row r="294">
      <c r="A294" s="109"/>
      <c r="B294" s="126"/>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2"/>
    </row>
    <row r="295">
      <c r="A295" s="109"/>
      <c r="B295" s="126"/>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c r="AD295" s="122"/>
    </row>
    <row r="296">
      <c r="A296" s="109"/>
      <c r="B296" s="126"/>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c r="AD296" s="122"/>
    </row>
    <row r="297">
      <c r="A297" s="109"/>
      <c r="B297" s="126"/>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c r="AD297" s="122"/>
    </row>
    <row r="298">
      <c r="A298" s="109"/>
      <c r="B298" s="126"/>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c r="AD298" s="122"/>
    </row>
    <row r="299">
      <c r="A299" s="109"/>
      <c r="B299" s="126"/>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c r="AD299" s="122"/>
    </row>
    <row r="300">
      <c r="A300" s="109"/>
      <c r="B300" s="126"/>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c r="AD300" s="122"/>
    </row>
    <row r="301">
      <c r="A301" s="109"/>
      <c r="B301" s="126"/>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c r="AD301" s="122"/>
    </row>
    <row r="302">
      <c r="A302" s="109"/>
      <c r="B302" s="126"/>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c r="AD302" s="122"/>
    </row>
    <row r="303">
      <c r="A303" s="109"/>
      <c r="B303" s="126"/>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c r="AD303" s="122"/>
    </row>
    <row r="304">
      <c r="A304" s="109"/>
      <c r="B304" s="126"/>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c r="AD304" s="122"/>
    </row>
    <row r="305">
      <c r="A305" s="109"/>
      <c r="B305" s="126"/>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c r="AD305" s="122"/>
    </row>
    <row r="306">
      <c r="A306" s="109"/>
      <c r="B306" s="126"/>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c r="AD306" s="122"/>
    </row>
    <row r="307">
      <c r="A307" s="109"/>
      <c r="B307" s="126"/>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c r="AD307" s="122"/>
    </row>
    <row r="308">
      <c r="A308" s="109"/>
      <c r="B308" s="126"/>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c r="AD308" s="122"/>
    </row>
    <row r="309">
      <c r="A309" s="109"/>
      <c r="B309" s="126"/>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c r="AD309" s="122"/>
    </row>
    <row r="310">
      <c r="A310" s="109"/>
      <c r="B310" s="126"/>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c r="AD310" s="122"/>
    </row>
    <row r="311">
      <c r="A311" s="109"/>
      <c r="B311" s="126"/>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c r="AD311" s="122"/>
    </row>
    <row r="312">
      <c r="A312" s="109"/>
      <c r="B312" s="126"/>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c r="AD312" s="122"/>
    </row>
    <row r="313">
      <c r="A313" s="109"/>
      <c r="B313" s="126"/>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c r="AD313" s="122"/>
    </row>
    <row r="314">
      <c r="A314" s="109"/>
      <c r="B314" s="126"/>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c r="AD314" s="122"/>
    </row>
    <row r="315">
      <c r="A315" s="109"/>
      <c r="B315" s="126"/>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c r="AD315" s="122"/>
    </row>
    <row r="316">
      <c r="A316" s="109"/>
      <c r="B316" s="126"/>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c r="AD316" s="122"/>
    </row>
    <row r="317">
      <c r="A317" s="109"/>
      <c r="B317" s="126"/>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c r="AD317" s="122"/>
    </row>
    <row r="318">
      <c r="A318" s="109"/>
      <c r="B318" s="126"/>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c r="AD318" s="122"/>
    </row>
    <row r="319">
      <c r="A319" s="109"/>
      <c r="B319" s="126"/>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c r="AD319" s="122"/>
    </row>
    <row r="320">
      <c r="A320" s="109"/>
      <c r="B320" s="126"/>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c r="AD320" s="122"/>
    </row>
    <row r="321">
      <c r="A321" s="109"/>
      <c r="B321" s="126"/>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c r="AD321" s="122"/>
    </row>
    <row r="322">
      <c r="A322" s="109"/>
      <c r="B322" s="126"/>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c r="AD322" s="122"/>
    </row>
    <row r="323">
      <c r="A323" s="109"/>
      <c r="B323" s="126"/>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c r="AD323" s="122"/>
    </row>
    <row r="324">
      <c r="A324" s="109"/>
      <c r="B324" s="126"/>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c r="AD324" s="122"/>
    </row>
    <row r="325">
      <c r="A325" s="109"/>
      <c r="B325" s="126"/>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c r="AD325" s="122"/>
    </row>
    <row r="326">
      <c r="A326" s="109"/>
      <c r="B326" s="126"/>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c r="AD326" s="122"/>
    </row>
    <row r="327">
      <c r="A327" s="109"/>
      <c r="B327" s="126"/>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c r="AD327" s="122"/>
    </row>
    <row r="328">
      <c r="A328" s="109"/>
      <c r="B328" s="126"/>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c r="AD328" s="122"/>
    </row>
    <row r="329">
      <c r="A329" s="109"/>
      <c r="B329" s="126"/>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c r="AD329" s="122"/>
    </row>
    <row r="330">
      <c r="A330" s="109"/>
      <c r="B330" s="126"/>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c r="AD330" s="122"/>
    </row>
    <row r="331">
      <c r="A331" s="109"/>
      <c r="B331" s="126"/>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c r="AD331" s="122"/>
    </row>
    <row r="332">
      <c r="A332" s="109"/>
      <c r="B332" s="126"/>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c r="AD332" s="122"/>
    </row>
    <row r="333">
      <c r="A333" s="109"/>
      <c r="B333" s="126"/>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c r="AD333" s="122"/>
    </row>
    <row r="334">
      <c r="A334" s="109"/>
      <c r="B334" s="126"/>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c r="AD334" s="122"/>
    </row>
    <row r="335">
      <c r="A335" s="109"/>
      <c r="B335" s="126"/>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c r="AD335" s="122"/>
    </row>
    <row r="336">
      <c r="A336" s="109"/>
      <c r="B336" s="126"/>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c r="AD336" s="122"/>
    </row>
    <row r="337">
      <c r="A337" s="109"/>
      <c r="B337" s="126"/>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c r="AD337" s="122"/>
    </row>
    <row r="338">
      <c r="A338" s="109"/>
      <c r="B338" s="126"/>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c r="AD338" s="122"/>
    </row>
    <row r="339">
      <c r="A339" s="109"/>
      <c r="B339" s="126"/>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c r="AD339" s="122"/>
    </row>
    <row r="340">
      <c r="A340" s="109"/>
      <c r="B340" s="126"/>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c r="AD340" s="122"/>
    </row>
    <row r="341">
      <c r="A341" s="109"/>
      <c r="B341" s="126"/>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c r="AD341" s="122"/>
    </row>
    <row r="342">
      <c r="A342" s="109"/>
      <c r="B342" s="126"/>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c r="AD342" s="122"/>
    </row>
    <row r="343">
      <c r="A343" s="109"/>
      <c r="B343" s="126"/>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c r="AD343" s="122"/>
    </row>
    <row r="344">
      <c r="A344" s="109"/>
      <c r="B344" s="126"/>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c r="AD344" s="122"/>
    </row>
    <row r="345">
      <c r="A345" s="109"/>
      <c r="B345" s="126"/>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c r="AD345" s="122"/>
    </row>
    <row r="346">
      <c r="A346" s="109"/>
      <c r="B346" s="126"/>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c r="AD346" s="122"/>
    </row>
    <row r="347">
      <c r="A347" s="109"/>
      <c r="B347" s="126"/>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c r="AD347" s="122"/>
    </row>
    <row r="348">
      <c r="A348" s="109"/>
      <c r="B348" s="126"/>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c r="AD348" s="122"/>
    </row>
    <row r="349">
      <c r="A349" s="109"/>
      <c r="B349" s="126"/>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c r="AD349" s="122"/>
    </row>
    <row r="350">
      <c r="A350" s="109"/>
      <c r="B350" s="126"/>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c r="AD350" s="122"/>
    </row>
    <row r="351">
      <c r="A351" s="109"/>
      <c r="B351" s="126"/>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c r="AD351" s="122"/>
    </row>
    <row r="352">
      <c r="A352" s="109"/>
      <c r="B352" s="126"/>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c r="AD352" s="122"/>
    </row>
    <row r="353">
      <c r="A353" s="109"/>
      <c r="B353" s="126"/>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c r="AD353" s="122"/>
    </row>
    <row r="354">
      <c r="A354" s="109"/>
      <c r="B354" s="126"/>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c r="AD354" s="122"/>
    </row>
    <row r="355">
      <c r="A355" s="109"/>
      <c r="B355" s="126"/>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c r="AD355" s="122"/>
    </row>
    <row r="356">
      <c r="A356" s="109"/>
      <c r="B356" s="126"/>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c r="AD356" s="122"/>
    </row>
    <row r="357">
      <c r="A357" s="109"/>
      <c r="B357" s="126"/>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c r="AD357" s="122"/>
    </row>
    <row r="358">
      <c r="A358" s="109"/>
      <c r="B358" s="126"/>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c r="AD358" s="122"/>
    </row>
    <row r="359">
      <c r="A359" s="109"/>
      <c r="B359" s="126"/>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c r="AD359" s="122"/>
    </row>
    <row r="360">
      <c r="A360" s="109"/>
      <c r="B360" s="126"/>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c r="AD360" s="122"/>
    </row>
    <row r="361">
      <c r="A361" s="109"/>
      <c r="B361" s="126"/>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c r="AD361" s="122"/>
    </row>
    <row r="362">
      <c r="A362" s="109"/>
      <c r="B362" s="126"/>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c r="AD362" s="122"/>
    </row>
    <row r="363">
      <c r="A363" s="109"/>
      <c r="B363" s="126"/>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c r="AD363" s="122"/>
    </row>
    <row r="364">
      <c r="A364" s="109"/>
      <c r="B364" s="126"/>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2"/>
    </row>
    <row r="365">
      <c r="A365" s="109"/>
      <c r="B365" s="126"/>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c r="AD365" s="122"/>
    </row>
    <row r="366">
      <c r="A366" s="109"/>
      <c r="B366" s="126"/>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c r="AD366" s="122"/>
    </row>
    <row r="367">
      <c r="A367" s="109"/>
      <c r="B367" s="126"/>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c r="AD367" s="122"/>
    </row>
    <row r="368">
      <c r="A368" s="109"/>
      <c r="B368" s="126"/>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c r="AD368" s="122"/>
    </row>
    <row r="369">
      <c r="A369" s="109"/>
      <c r="B369" s="126"/>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2"/>
    </row>
    <row r="370">
      <c r="A370" s="109"/>
      <c r="B370" s="126"/>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c r="AD370" s="122"/>
    </row>
    <row r="371">
      <c r="A371" s="109"/>
      <c r="B371" s="126"/>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c r="AD371" s="122"/>
    </row>
    <row r="372">
      <c r="A372" s="109"/>
      <c r="B372" s="126"/>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c r="AD372" s="122"/>
    </row>
    <row r="373">
      <c r="A373" s="109"/>
      <c r="B373" s="126"/>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c r="AD373" s="122"/>
    </row>
    <row r="374">
      <c r="A374" s="109"/>
      <c r="B374" s="126"/>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c r="AD374" s="122"/>
    </row>
    <row r="375">
      <c r="A375" s="109"/>
      <c r="B375" s="126"/>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c r="AD375" s="122"/>
    </row>
    <row r="376">
      <c r="A376" s="109"/>
      <c r="B376" s="126"/>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c r="AD376" s="122"/>
    </row>
    <row r="377">
      <c r="A377" s="109"/>
      <c r="B377" s="126"/>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c r="AD377" s="122"/>
    </row>
    <row r="378">
      <c r="A378" s="109"/>
      <c r="B378" s="126"/>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c r="AD378" s="122"/>
    </row>
    <row r="379">
      <c r="A379" s="109"/>
      <c r="B379" s="126"/>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c r="AD379" s="122"/>
    </row>
    <row r="380">
      <c r="A380" s="109"/>
      <c r="B380" s="126"/>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c r="AD380" s="122"/>
    </row>
    <row r="381">
      <c r="A381" s="109"/>
      <c r="B381" s="126"/>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c r="AD381" s="122"/>
    </row>
    <row r="382">
      <c r="A382" s="109"/>
      <c r="B382" s="126"/>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c r="AD382" s="122"/>
    </row>
    <row r="383">
      <c r="A383" s="109"/>
      <c r="B383" s="126"/>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c r="AD383" s="122"/>
    </row>
    <row r="384">
      <c r="A384" s="109"/>
      <c r="B384" s="126"/>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c r="AD384" s="122"/>
    </row>
    <row r="385">
      <c r="A385" s="109"/>
      <c r="B385" s="126"/>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c r="AD385" s="122"/>
    </row>
    <row r="386">
      <c r="A386" s="109"/>
      <c r="B386" s="126"/>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c r="AD386" s="122"/>
    </row>
    <row r="387">
      <c r="A387" s="109"/>
      <c r="B387" s="126"/>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c r="AD387" s="122"/>
    </row>
    <row r="388">
      <c r="A388" s="109"/>
      <c r="B388" s="126"/>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c r="AD388" s="122"/>
    </row>
    <row r="389">
      <c r="A389" s="109"/>
      <c r="B389" s="126"/>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c r="AD389" s="122"/>
    </row>
    <row r="390">
      <c r="A390" s="109"/>
      <c r="B390" s="126"/>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2"/>
    </row>
    <row r="391">
      <c r="A391" s="109"/>
      <c r="B391" s="126"/>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c r="AD391" s="122"/>
    </row>
    <row r="392">
      <c r="A392" s="109"/>
      <c r="B392" s="126"/>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c r="AD392" s="122"/>
    </row>
    <row r="393">
      <c r="A393" s="109"/>
      <c r="B393" s="126"/>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c r="AD393" s="122"/>
    </row>
    <row r="394">
      <c r="A394" s="109"/>
      <c r="B394" s="126"/>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c r="AD394" s="122"/>
    </row>
    <row r="395">
      <c r="A395" s="109"/>
      <c r="B395" s="126"/>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c r="AD395" s="122"/>
    </row>
    <row r="396">
      <c r="A396" s="109"/>
      <c r="B396" s="126"/>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c r="AD396" s="122"/>
    </row>
    <row r="397">
      <c r="A397" s="109"/>
      <c r="B397" s="126"/>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c r="AD397" s="122"/>
    </row>
    <row r="398">
      <c r="A398" s="109"/>
      <c r="B398" s="126"/>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c r="AD398" s="122"/>
    </row>
    <row r="399">
      <c r="A399" s="109"/>
      <c r="B399" s="126"/>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c r="AD399" s="122"/>
    </row>
    <row r="400">
      <c r="A400" s="109"/>
      <c r="B400" s="126"/>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c r="AD400" s="122"/>
    </row>
    <row r="401">
      <c r="A401" s="109"/>
      <c r="B401" s="126"/>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c r="AD401" s="122"/>
    </row>
    <row r="402">
      <c r="A402" s="109"/>
      <c r="B402" s="126"/>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c r="AD402" s="122"/>
    </row>
    <row r="403">
      <c r="A403" s="109"/>
      <c r="B403" s="126"/>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c r="AD403" s="122"/>
    </row>
    <row r="404">
      <c r="A404" s="109"/>
      <c r="B404" s="126"/>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c r="AD404" s="122"/>
    </row>
    <row r="405">
      <c r="A405" s="109"/>
      <c r="B405" s="126"/>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c r="AD405" s="122"/>
    </row>
    <row r="406">
      <c r="A406" s="109"/>
      <c r="B406" s="126"/>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c r="AD406" s="122"/>
    </row>
    <row r="407">
      <c r="A407" s="109"/>
      <c r="B407" s="126"/>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c r="AD407" s="122"/>
    </row>
    <row r="408">
      <c r="A408" s="109"/>
      <c r="B408" s="126"/>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c r="AD408" s="122"/>
    </row>
    <row r="409">
      <c r="A409" s="109"/>
      <c r="B409" s="126"/>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2"/>
    </row>
    <row r="410">
      <c r="A410" s="109"/>
      <c r="B410" s="126"/>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c r="AD410" s="122"/>
    </row>
    <row r="411">
      <c r="A411" s="109"/>
      <c r="B411" s="126"/>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c r="AD411" s="122"/>
    </row>
    <row r="412">
      <c r="A412" s="109"/>
      <c r="B412" s="126"/>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c r="AD412" s="122"/>
    </row>
    <row r="413">
      <c r="A413" s="109"/>
      <c r="B413" s="126"/>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c r="AD413" s="122"/>
    </row>
    <row r="414">
      <c r="A414" s="109"/>
      <c r="B414" s="126"/>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2"/>
    </row>
    <row r="415">
      <c r="A415" s="109"/>
      <c r="B415" s="126"/>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c r="AD415" s="122"/>
    </row>
    <row r="416">
      <c r="A416" s="109"/>
      <c r="B416" s="126"/>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c r="AD416" s="122"/>
    </row>
    <row r="417">
      <c r="A417" s="109"/>
      <c r="B417" s="126"/>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c r="AD417" s="122"/>
    </row>
    <row r="418">
      <c r="A418" s="109"/>
      <c r="B418" s="126"/>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c r="AD418" s="122"/>
    </row>
    <row r="419">
      <c r="A419" s="109"/>
      <c r="B419" s="126"/>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c r="AD419" s="122"/>
    </row>
    <row r="420">
      <c r="A420" s="109"/>
      <c r="B420" s="126"/>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c r="AD420" s="122"/>
    </row>
    <row r="421">
      <c r="A421" s="109"/>
      <c r="B421" s="126"/>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c r="AD421" s="122"/>
    </row>
    <row r="422">
      <c r="A422" s="109"/>
      <c r="B422" s="126"/>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c r="AD422" s="122"/>
    </row>
    <row r="423">
      <c r="A423" s="109"/>
      <c r="B423" s="126"/>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c r="AD423" s="122"/>
    </row>
    <row r="424">
      <c r="A424" s="109"/>
      <c r="B424" s="126"/>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c r="AD424" s="122"/>
    </row>
    <row r="425">
      <c r="A425" s="109"/>
      <c r="B425" s="126"/>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c r="AD425" s="122"/>
    </row>
    <row r="426">
      <c r="A426" s="109"/>
      <c r="B426" s="126"/>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c r="AD426" s="122"/>
    </row>
    <row r="427">
      <c r="A427" s="109"/>
      <c r="B427" s="126"/>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c r="AD427" s="122"/>
    </row>
    <row r="428">
      <c r="A428" s="109"/>
      <c r="B428" s="126"/>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c r="AD428" s="122"/>
    </row>
    <row r="429">
      <c r="A429" s="109"/>
      <c r="B429" s="126"/>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c r="AD429" s="122"/>
    </row>
    <row r="430">
      <c r="A430" s="109"/>
      <c r="B430" s="126"/>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c r="AD430" s="122"/>
    </row>
    <row r="431">
      <c r="A431" s="109"/>
      <c r="B431" s="126"/>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c r="AD431" s="122"/>
    </row>
    <row r="432">
      <c r="A432" s="109"/>
      <c r="B432" s="126"/>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c r="AD432" s="122"/>
    </row>
    <row r="433">
      <c r="A433" s="109"/>
      <c r="B433" s="126"/>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c r="AD433" s="122"/>
    </row>
    <row r="434">
      <c r="A434" s="109"/>
      <c r="B434" s="126"/>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2"/>
    </row>
    <row r="435">
      <c r="A435" s="109"/>
      <c r="B435" s="126"/>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c r="AD435" s="122"/>
    </row>
    <row r="436">
      <c r="A436" s="109"/>
      <c r="B436" s="126"/>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c r="AD436" s="122"/>
    </row>
    <row r="437">
      <c r="A437" s="109"/>
      <c r="B437" s="126"/>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c r="AD437" s="122"/>
    </row>
    <row r="438">
      <c r="A438" s="109"/>
      <c r="B438" s="126"/>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c r="AD438" s="122"/>
    </row>
    <row r="439">
      <c r="A439" s="109"/>
      <c r="B439" s="126"/>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c r="AD439" s="122"/>
    </row>
    <row r="440">
      <c r="A440" s="109"/>
      <c r="B440" s="126"/>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c r="AD440" s="122"/>
    </row>
    <row r="441">
      <c r="A441" s="109"/>
      <c r="B441" s="126"/>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c r="AD441" s="122"/>
    </row>
    <row r="442">
      <c r="A442" s="109"/>
      <c r="B442" s="126"/>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c r="AD442" s="122"/>
    </row>
    <row r="443">
      <c r="A443" s="109"/>
      <c r="B443" s="126"/>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c r="AD443" s="122"/>
    </row>
    <row r="444">
      <c r="A444" s="109"/>
      <c r="B444" s="126"/>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c r="AD444" s="122"/>
    </row>
    <row r="445">
      <c r="A445" s="109"/>
      <c r="B445" s="126"/>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c r="AD445" s="122"/>
    </row>
    <row r="446">
      <c r="A446" s="109"/>
      <c r="B446" s="126"/>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c r="AD446" s="122"/>
    </row>
    <row r="447">
      <c r="A447" s="109"/>
      <c r="B447" s="126"/>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c r="AD447" s="122"/>
    </row>
    <row r="448">
      <c r="A448" s="109"/>
      <c r="B448" s="126"/>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c r="AD448" s="122"/>
    </row>
    <row r="449">
      <c r="A449" s="109"/>
      <c r="B449" s="126"/>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c r="AD449" s="122"/>
    </row>
    <row r="450">
      <c r="A450" s="109"/>
      <c r="B450" s="126"/>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c r="AD450" s="122"/>
    </row>
    <row r="451">
      <c r="A451" s="109"/>
      <c r="B451" s="126"/>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c r="AD451" s="122"/>
    </row>
    <row r="452">
      <c r="A452" s="109"/>
      <c r="B452" s="126"/>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c r="AD452" s="122"/>
    </row>
    <row r="453">
      <c r="A453" s="109"/>
      <c r="B453" s="126"/>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c r="AD453" s="122"/>
    </row>
    <row r="454">
      <c r="A454" s="109"/>
      <c r="B454" s="126"/>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c r="AD454" s="122"/>
    </row>
    <row r="455">
      <c r="A455" s="109"/>
      <c r="B455" s="126"/>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c r="AD455" s="122"/>
    </row>
    <row r="456">
      <c r="A456" s="109"/>
      <c r="B456" s="126"/>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c r="AD456" s="122"/>
    </row>
    <row r="457">
      <c r="A457" s="109"/>
      <c r="B457" s="126"/>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c r="AD457" s="122"/>
    </row>
    <row r="458">
      <c r="A458" s="109"/>
      <c r="B458" s="126"/>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c r="AD458" s="122"/>
    </row>
    <row r="459">
      <c r="A459" s="109"/>
      <c r="B459" s="126"/>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c r="AD459" s="122"/>
    </row>
    <row r="460">
      <c r="A460" s="109"/>
      <c r="B460" s="126"/>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c r="AD460" s="122"/>
    </row>
    <row r="461">
      <c r="A461" s="109"/>
      <c r="B461" s="126"/>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c r="AD461" s="122"/>
    </row>
    <row r="462">
      <c r="A462" s="109"/>
      <c r="B462" s="126"/>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c r="AD462" s="122"/>
    </row>
    <row r="463">
      <c r="A463" s="109"/>
      <c r="B463" s="126"/>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c r="AD463" s="122"/>
    </row>
    <row r="464">
      <c r="A464" s="109"/>
      <c r="B464" s="126"/>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c r="AD464" s="122"/>
    </row>
    <row r="465">
      <c r="A465" s="109"/>
      <c r="B465" s="126"/>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c r="AD465" s="122"/>
    </row>
    <row r="466">
      <c r="A466" s="109"/>
      <c r="B466" s="126"/>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c r="AD466" s="122"/>
    </row>
    <row r="467">
      <c r="A467" s="109"/>
      <c r="B467" s="126"/>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2"/>
    </row>
    <row r="468">
      <c r="A468" s="109"/>
      <c r="B468" s="126"/>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c r="AD468" s="122"/>
    </row>
    <row r="469">
      <c r="A469" s="109"/>
      <c r="B469" s="126"/>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2"/>
    </row>
    <row r="470">
      <c r="A470" s="109"/>
      <c r="B470" s="126"/>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c r="AD470" s="122"/>
    </row>
    <row r="471">
      <c r="A471" s="109"/>
      <c r="B471" s="126"/>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c r="AD471" s="122"/>
    </row>
    <row r="472">
      <c r="A472" s="109"/>
      <c r="B472" s="126"/>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2"/>
    </row>
    <row r="473">
      <c r="A473" s="109"/>
      <c r="B473" s="126"/>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c r="AD473" s="122"/>
    </row>
    <row r="474">
      <c r="A474" s="109"/>
      <c r="B474" s="126"/>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2"/>
    </row>
    <row r="475">
      <c r="A475" s="109"/>
      <c r="B475" s="126"/>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c r="AD475" s="122"/>
    </row>
    <row r="476">
      <c r="A476" s="109"/>
      <c r="B476" s="126"/>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c r="AD476" s="122"/>
    </row>
    <row r="477">
      <c r="A477" s="109"/>
      <c r="B477" s="126"/>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2"/>
    </row>
    <row r="478">
      <c r="A478" s="109"/>
      <c r="B478" s="126"/>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c r="AD478" s="122"/>
    </row>
    <row r="479">
      <c r="A479" s="109"/>
      <c r="B479" s="126"/>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2"/>
    </row>
    <row r="480">
      <c r="A480" s="109"/>
      <c r="B480" s="126"/>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c r="AD480" s="122"/>
    </row>
    <row r="481">
      <c r="A481" s="109"/>
      <c r="B481" s="126"/>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c r="AD481" s="122"/>
    </row>
    <row r="482">
      <c r="A482" s="109"/>
      <c r="B482" s="126"/>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2"/>
    </row>
    <row r="483">
      <c r="A483" s="109"/>
      <c r="B483" s="126"/>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c r="AD483" s="122"/>
    </row>
    <row r="484">
      <c r="A484" s="109"/>
      <c r="B484" s="126"/>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c r="AD484" s="122"/>
    </row>
    <row r="485">
      <c r="A485" s="109"/>
      <c r="B485" s="126"/>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c r="AD485" s="122"/>
    </row>
    <row r="486">
      <c r="A486" s="109"/>
      <c r="B486" s="126"/>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row>
    <row r="487">
      <c r="A487" s="109"/>
      <c r="B487" s="126"/>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2"/>
    </row>
    <row r="488">
      <c r="A488" s="109"/>
      <c r="B488" s="126"/>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c r="AD488" s="122"/>
    </row>
    <row r="489">
      <c r="A489" s="109"/>
      <c r="B489" s="126"/>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c r="AD489" s="122"/>
    </row>
    <row r="490">
      <c r="A490" s="109"/>
      <c r="B490" s="126"/>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c r="AD490" s="122"/>
    </row>
    <row r="491">
      <c r="A491" s="109"/>
      <c r="B491" s="126"/>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c r="AD491" s="122"/>
    </row>
    <row r="492">
      <c r="A492" s="109"/>
      <c r="B492" s="126"/>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2"/>
    </row>
    <row r="493">
      <c r="A493" s="109"/>
      <c r="B493" s="126"/>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c r="AD493" s="122"/>
    </row>
    <row r="494">
      <c r="A494" s="109"/>
      <c r="B494" s="126"/>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c r="AD494" s="122"/>
    </row>
    <row r="495">
      <c r="A495" s="109"/>
      <c r="B495" s="126"/>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c r="AD495" s="122"/>
    </row>
    <row r="496">
      <c r="A496" s="109"/>
      <c r="B496" s="126"/>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2"/>
    </row>
    <row r="497">
      <c r="A497" s="109"/>
      <c r="B497" s="126"/>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2"/>
    </row>
    <row r="498">
      <c r="A498" s="109"/>
      <c r="B498" s="126"/>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c r="AD498" s="122"/>
    </row>
    <row r="499">
      <c r="A499" s="109"/>
      <c r="B499" s="126"/>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c r="AD499" s="122"/>
    </row>
    <row r="500">
      <c r="A500" s="109"/>
      <c r="B500" s="126"/>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2"/>
    </row>
    <row r="501">
      <c r="A501" s="109"/>
      <c r="B501" s="126"/>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c r="AD501" s="122"/>
    </row>
    <row r="502">
      <c r="A502" s="109"/>
      <c r="B502" s="126"/>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2"/>
    </row>
    <row r="503">
      <c r="A503" s="109"/>
      <c r="B503" s="126"/>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c r="AD503" s="122"/>
    </row>
    <row r="504">
      <c r="A504" s="109"/>
      <c r="B504" s="126"/>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c r="AD504" s="122"/>
    </row>
    <row r="505">
      <c r="A505" s="109"/>
      <c r="B505" s="126"/>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c r="AD505" s="122"/>
    </row>
    <row r="506">
      <c r="A506" s="109"/>
      <c r="B506" s="126"/>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c r="AD506" s="122"/>
    </row>
    <row r="507">
      <c r="A507" s="109"/>
      <c r="B507" s="126"/>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2"/>
    </row>
    <row r="508">
      <c r="A508" s="109"/>
      <c r="B508" s="126"/>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c r="AD508" s="122"/>
    </row>
    <row r="509">
      <c r="A509" s="109"/>
      <c r="B509" s="126"/>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2"/>
    </row>
    <row r="510">
      <c r="A510" s="109"/>
      <c r="B510" s="126"/>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c r="AD510" s="122"/>
    </row>
    <row r="511">
      <c r="A511" s="109"/>
      <c r="B511" s="126"/>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c r="AD511" s="122"/>
    </row>
    <row r="512">
      <c r="A512" s="109"/>
      <c r="B512" s="126"/>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2"/>
    </row>
    <row r="513">
      <c r="A513" s="109"/>
      <c r="B513" s="126"/>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c r="AD513" s="122"/>
    </row>
    <row r="514">
      <c r="A514" s="109"/>
      <c r="B514" s="126"/>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c r="AD514" s="122"/>
    </row>
    <row r="515">
      <c r="A515" s="109"/>
      <c r="B515" s="126"/>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c r="AD515" s="122"/>
    </row>
    <row r="516">
      <c r="A516" s="109"/>
      <c r="B516" s="126"/>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c r="AD516" s="122"/>
    </row>
    <row r="517">
      <c r="A517" s="109"/>
      <c r="B517" s="126"/>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2"/>
    </row>
    <row r="518">
      <c r="A518" s="109"/>
      <c r="B518" s="126"/>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c r="AD518" s="122"/>
    </row>
    <row r="519">
      <c r="A519" s="109"/>
      <c r="B519" s="126"/>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c r="AD519" s="122"/>
    </row>
    <row r="520">
      <c r="A520" s="109"/>
      <c r="B520" s="126"/>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c r="AD520" s="122"/>
    </row>
    <row r="521">
      <c r="A521" s="109"/>
      <c r="B521" s="126"/>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c r="AD521" s="122"/>
    </row>
    <row r="522">
      <c r="A522" s="109"/>
      <c r="B522" s="126"/>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2"/>
    </row>
    <row r="523">
      <c r="A523" s="109"/>
      <c r="B523" s="126"/>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c r="AD523" s="122"/>
    </row>
    <row r="524">
      <c r="A524" s="109"/>
      <c r="B524" s="126"/>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c r="AD524" s="122"/>
    </row>
    <row r="525">
      <c r="A525" s="109"/>
      <c r="B525" s="126"/>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c r="AD525" s="122"/>
    </row>
    <row r="526">
      <c r="A526" s="109"/>
      <c r="B526" s="126"/>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c r="AD526" s="122"/>
    </row>
    <row r="527">
      <c r="A527" s="109"/>
      <c r="B527" s="126"/>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c r="AD527" s="122"/>
    </row>
    <row r="528">
      <c r="A528" s="109"/>
      <c r="B528" s="126"/>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c r="AD528" s="122"/>
    </row>
    <row r="529">
      <c r="A529" s="109"/>
      <c r="B529" s="126"/>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c r="AD529" s="122"/>
    </row>
    <row r="530">
      <c r="A530" s="109"/>
      <c r="B530" s="126"/>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c r="AD530" s="122"/>
    </row>
    <row r="531">
      <c r="A531" s="109"/>
      <c r="B531" s="126"/>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c r="AD531" s="122"/>
    </row>
    <row r="532">
      <c r="A532" s="109"/>
      <c r="B532" s="126"/>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c r="AD532" s="122"/>
    </row>
    <row r="533">
      <c r="A533" s="109"/>
      <c r="B533" s="126"/>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c r="AD533" s="122"/>
    </row>
    <row r="534">
      <c r="A534" s="109"/>
      <c r="B534" s="126"/>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c r="AD534" s="122"/>
    </row>
    <row r="535">
      <c r="A535" s="109"/>
      <c r="B535" s="126"/>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c r="AD535" s="122"/>
    </row>
    <row r="536">
      <c r="A536" s="109"/>
      <c r="B536" s="126"/>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c r="AD536" s="122"/>
    </row>
    <row r="537">
      <c r="A537" s="109"/>
      <c r="B537" s="126"/>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c r="AD537" s="122"/>
    </row>
    <row r="538">
      <c r="A538" s="109"/>
      <c r="B538" s="126"/>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c r="AD538" s="122"/>
    </row>
    <row r="539">
      <c r="A539" s="109"/>
      <c r="B539" s="126"/>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2"/>
    </row>
    <row r="540">
      <c r="A540" s="109"/>
      <c r="B540" s="126"/>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c r="AD540" s="122"/>
    </row>
    <row r="541">
      <c r="A541" s="109"/>
      <c r="B541" s="126"/>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2"/>
    </row>
    <row r="542">
      <c r="A542" s="109"/>
      <c r="B542" s="126"/>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c r="AD542" s="122"/>
    </row>
    <row r="543">
      <c r="A543" s="109"/>
      <c r="B543" s="126"/>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2"/>
    </row>
    <row r="544">
      <c r="A544" s="109"/>
      <c r="B544" s="126"/>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c r="AD544" s="122"/>
    </row>
    <row r="545">
      <c r="A545" s="109"/>
      <c r="B545" s="126"/>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c r="AD545" s="122"/>
    </row>
    <row r="546">
      <c r="A546" s="109"/>
      <c r="B546" s="126"/>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c r="AD546" s="122"/>
    </row>
    <row r="547">
      <c r="A547" s="109"/>
      <c r="B547" s="126"/>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c r="AD547" s="122"/>
    </row>
    <row r="548">
      <c r="A548" s="109"/>
      <c r="B548" s="126"/>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c r="AD548" s="122"/>
    </row>
    <row r="549">
      <c r="A549" s="109"/>
      <c r="B549" s="126"/>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c r="AD549" s="122"/>
    </row>
    <row r="550">
      <c r="A550" s="109"/>
      <c r="B550" s="126"/>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c r="AD550" s="122"/>
    </row>
    <row r="551">
      <c r="A551" s="109"/>
      <c r="B551" s="126"/>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c r="AD551" s="122"/>
    </row>
    <row r="552">
      <c r="A552" s="109"/>
      <c r="B552" s="126"/>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c r="AD552" s="122"/>
    </row>
    <row r="553">
      <c r="A553" s="109"/>
      <c r="B553" s="126"/>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c r="AD553" s="122"/>
    </row>
    <row r="554">
      <c r="A554" s="109"/>
      <c r="B554" s="126"/>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c r="AD554" s="122"/>
    </row>
    <row r="555">
      <c r="A555" s="109"/>
      <c r="B555" s="126"/>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c r="AD555" s="122"/>
    </row>
    <row r="556">
      <c r="A556" s="109"/>
      <c r="B556" s="126"/>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c r="AD556" s="122"/>
    </row>
    <row r="557">
      <c r="A557" s="109"/>
      <c r="B557" s="126"/>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c r="AD557" s="122"/>
    </row>
    <row r="558">
      <c r="A558" s="109"/>
      <c r="B558" s="126"/>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c r="AD558" s="122"/>
    </row>
    <row r="559">
      <c r="A559" s="109"/>
      <c r="B559" s="126"/>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c r="AD559" s="122"/>
    </row>
    <row r="560">
      <c r="A560" s="109"/>
      <c r="B560" s="126"/>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c r="AD560" s="122"/>
    </row>
    <row r="561">
      <c r="A561" s="109"/>
      <c r="B561" s="126"/>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c r="AD561" s="122"/>
    </row>
    <row r="562">
      <c r="A562" s="109"/>
      <c r="B562" s="126"/>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c r="AD562" s="122"/>
    </row>
    <row r="563">
      <c r="A563" s="109"/>
      <c r="B563" s="126"/>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c r="AD563" s="122"/>
    </row>
    <row r="564">
      <c r="A564" s="109"/>
      <c r="B564" s="126"/>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c r="AD564" s="122"/>
    </row>
    <row r="565">
      <c r="A565" s="109"/>
      <c r="B565" s="126"/>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c r="AD565" s="122"/>
    </row>
    <row r="566">
      <c r="A566" s="109"/>
      <c r="B566" s="126"/>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c r="AD566" s="122"/>
    </row>
    <row r="567">
      <c r="A567" s="109"/>
      <c r="B567" s="126"/>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c r="AD567" s="122"/>
    </row>
    <row r="568">
      <c r="A568" s="109"/>
      <c r="B568" s="126"/>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c r="AD568" s="122"/>
    </row>
    <row r="569">
      <c r="A569" s="109"/>
      <c r="B569" s="126"/>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c r="AD569" s="122"/>
    </row>
    <row r="570">
      <c r="A570" s="109"/>
      <c r="B570" s="126"/>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c r="AD570" s="122"/>
    </row>
    <row r="571">
      <c r="A571" s="109"/>
      <c r="B571" s="126"/>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c r="AD571" s="122"/>
    </row>
    <row r="572">
      <c r="A572" s="109"/>
      <c r="B572" s="126"/>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c r="AD572" s="122"/>
    </row>
    <row r="573">
      <c r="A573" s="109"/>
      <c r="B573" s="126"/>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c r="AD573" s="122"/>
    </row>
    <row r="574">
      <c r="A574" s="109"/>
      <c r="B574" s="126"/>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c r="AD574" s="122"/>
    </row>
    <row r="575">
      <c r="A575" s="109"/>
      <c r="B575" s="126"/>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2"/>
    </row>
    <row r="576">
      <c r="A576" s="109"/>
      <c r="B576" s="126"/>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c r="AD576" s="122"/>
    </row>
    <row r="577">
      <c r="A577" s="109"/>
      <c r="B577" s="126"/>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c r="AD577" s="122"/>
    </row>
    <row r="578">
      <c r="A578" s="109"/>
      <c r="B578" s="126"/>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c r="AD578" s="122"/>
    </row>
    <row r="579">
      <c r="A579" s="109"/>
      <c r="B579" s="126"/>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c r="AD579" s="122"/>
    </row>
    <row r="580">
      <c r="A580" s="109"/>
      <c r="B580" s="126"/>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c r="AD580" s="122"/>
    </row>
    <row r="581">
      <c r="A581" s="109"/>
      <c r="B581" s="126"/>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c r="AD581" s="122"/>
    </row>
    <row r="582">
      <c r="A582" s="109"/>
      <c r="B582" s="126"/>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c r="AD582" s="122"/>
    </row>
    <row r="583">
      <c r="A583" s="109"/>
      <c r="B583" s="126"/>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c r="AD583" s="122"/>
    </row>
    <row r="584">
      <c r="A584" s="109"/>
      <c r="B584" s="126"/>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c r="AD584" s="122"/>
    </row>
    <row r="585">
      <c r="A585" s="109"/>
      <c r="B585" s="126"/>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c r="AD585" s="122"/>
    </row>
    <row r="586">
      <c r="A586" s="109"/>
      <c r="B586" s="126"/>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c r="AD586" s="122"/>
    </row>
    <row r="587">
      <c r="A587" s="109"/>
      <c r="B587" s="126"/>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row>
    <row r="588">
      <c r="A588" s="109"/>
      <c r="B588" s="126"/>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row>
    <row r="589">
      <c r="A589" s="109"/>
      <c r="B589" s="126"/>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c r="AD589" s="122"/>
    </row>
    <row r="590">
      <c r="A590" s="109"/>
      <c r="B590" s="126"/>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c r="AD590" s="122"/>
    </row>
    <row r="591">
      <c r="A591" s="109"/>
      <c r="B591" s="126"/>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c r="AD591" s="122"/>
    </row>
    <row r="592">
      <c r="A592" s="109"/>
      <c r="B592" s="126"/>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c r="AD592" s="122"/>
    </row>
    <row r="593">
      <c r="A593" s="109"/>
      <c r="B593" s="126"/>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c r="AD593" s="122"/>
    </row>
    <row r="594">
      <c r="A594" s="109"/>
      <c r="B594" s="126"/>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2"/>
    </row>
    <row r="595">
      <c r="A595" s="109"/>
      <c r="B595" s="126"/>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c r="AD595" s="122"/>
    </row>
    <row r="596">
      <c r="A596" s="109"/>
      <c r="B596" s="126"/>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2"/>
    </row>
    <row r="597">
      <c r="A597" s="109"/>
      <c r="B597" s="126"/>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c r="AD597" s="122"/>
    </row>
    <row r="598">
      <c r="A598" s="109"/>
      <c r="B598" s="126"/>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c r="AD598" s="122"/>
    </row>
    <row r="599">
      <c r="A599" s="109"/>
      <c r="B599" s="126"/>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c r="AD599" s="122"/>
    </row>
    <row r="600">
      <c r="A600" s="109"/>
      <c r="B600" s="126"/>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c r="AD600" s="122"/>
    </row>
    <row r="601">
      <c r="A601" s="109"/>
      <c r="B601" s="126"/>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c r="AD601" s="122"/>
    </row>
    <row r="602">
      <c r="A602" s="109"/>
      <c r="B602" s="126"/>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row>
    <row r="603">
      <c r="A603" s="109"/>
      <c r="B603" s="126"/>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row>
    <row r="604">
      <c r="A604" s="109"/>
      <c r="B604" s="126"/>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c r="AD604" s="122"/>
    </row>
    <row r="605">
      <c r="A605" s="109"/>
      <c r="B605" s="126"/>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c r="AD605" s="122"/>
    </row>
    <row r="606">
      <c r="A606" s="109"/>
      <c r="B606" s="126"/>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c r="AD606" s="122"/>
    </row>
    <row r="607">
      <c r="A607" s="109"/>
      <c r="B607" s="126"/>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c r="AD607" s="122"/>
    </row>
    <row r="608">
      <c r="A608" s="109"/>
      <c r="B608" s="126"/>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c r="AD608" s="122"/>
    </row>
    <row r="609">
      <c r="A609" s="109"/>
      <c r="B609" s="126"/>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c r="AD609" s="122"/>
    </row>
    <row r="610">
      <c r="A610" s="109"/>
      <c r="B610" s="126"/>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c r="AD610" s="122"/>
    </row>
    <row r="611">
      <c r="A611" s="109"/>
      <c r="B611" s="126"/>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c r="AD611" s="122"/>
    </row>
    <row r="612">
      <c r="A612" s="109"/>
      <c r="B612" s="126"/>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c r="AD612" s="122"/>
    </row>
    <row r="613">
      <c r="A613" s="109"/>
      <c r="B613" s="126"/>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c r="AD613" s="122"/>
    </row>
    <row r="614">
      <c r="A614" s="109"/>
      <c r="B614" s="126"/>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c r="AD614" s="122"/>
    </row>
    <row r="615">
      <c r="A615" s="109"/>
      <c r="B615" s="126"/>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c r="AD615" s="122"/>
    </row>
    <row r="616">
      <c r="A616" s="109"/>
      <c r="B616" s="126"/>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c r="AD616" s="122"/>
    </row>
    <row r="617">
      <c r="A617" s="109"/>
      <c r="B617" s="126"/>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row>
    <row r="618">
      <c r="A618" s="109"/>
      <c r="B618" s="126"/>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c r="AD618" s="122"/>
    </row>
    <row r="619">
      <c r="A619" s="109"/>
      <c r="B619" s="126"/>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c r="AD619" s="122"/>
    </row>
    <row r="620">
      <c r="A620" s="109"/>
      <c r="B620" s="126"/>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c r="AD620" s="122"/>
    </row>
    <row r="621">
      <c r="A621" s="109"/>
      <c r="B621" s="126"/>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c r="AD621" s="122"/>
    </row>
    <row r="622">
      <c r="A622" s="109"/>
      <c r="B622" s="126"/>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c r="AD622" s="122"/>
    </row>
    <row r="623">
      <c r="A623" s="109"/>
      <c r="B623" s="126"/>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c r="AD623" s="122"/>
    </row>
    <row r="624">
      <c r="A624" s="109"/>
      <c r="B624" s="126"/>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c r="AD624" s="122"/>
    </row>
    <row r="625">
      <c r="A625" s="109"/>
      <c r="B625" s="126"/>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c r="AD625" s="122"/>
    </row>
    <row r="626">
      <c r="A626" s="109"/>
      <c r="B626" s="126"/>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c r="AD626" s="122"/>
    </row>
    <row r="627">
      <c r="A627" s="109"/>
      <c r="B627" s="126"/>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c r="AD627" s="122"/>
    </row>
    <row r="628">
      <c r="A628" s="109"/>
      <c r="B628" s="126"/>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c r="AD628" s="122"/>
    </row>
    <row r="629">
      <c r="A629" s="109"/>
      <c r="B629" s="126"/>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c r="AD629" s="122"/>
    </row>
    <row r="630">
      <c r="A630" s="109"/>
      <c r="B630" s="126"/>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c r="AD630" s="122"/>
    </row>
    <row r="631">
      <c r="A631" s="109"/>
      <c r="B631" s="126"/>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c r="AD631" s="122"/>
    </row>
    <row r="632">
      <c r="A632" s="109"/>
      <c r="B632" s="126"/>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c r="AD632" s="122"/>
    </row>
    <row r="633">
      <c r="A633" s="109"/>
      <c r="B633" s="126"/>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c r="AD633" s="122"/>
    </row>
    <row r="634">
      <c r="A634" s="109"/>
      <c r="B634" s="126"/>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c r="AD634" s="122"/>
    </row>
    <row r="635">
      <c r="A635" s="109"/>
      <c r="B635" s="126"/>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c r="AD635" s="122"/>
    </row>
    <row r="636">
      <c r="A636" s="109"/>
      <c r="B636" s="126"/>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c r="AD636" s="122"/>
    </row>
    <row r="637">
      <c r="A637" s="109"/>
      <c r="B637" s="126"/>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c r="AD637" s="122"/>
    </row>
    <row r="638">
      <c r="A638" s="109"/>
      <c r="B638" s="126"/>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c r="AD638" s="122"/>
    </row>
    <row r="639">
      <c r="A639" s="109"/>
      <c r="B639" s="126"/>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c r="AD639" s="122"/>
    </row>
    <row r="640">
      <c r="A640" s="109"/>
      <c r="B640" s="126"/>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c r="AD640" s="122"/>
    </row>
    <row r="641">
      <c r="A641" s="109"/>
      <c r="B641" s="126"/>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c r="AD641" s="122"/>
    </row>
    <row r="642">
      <c r="A642" s="109"/>
      <c r="B642" s="126"/>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c r="AD642" s="122"/>
    </row>
    <row r="643">
      <c r="A643" s="109"/>
      <c r="B643" s="126"/>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c r="AD643" s="122"/>
    </row>
    <row r="644">
      <c r="A644" s="109"/>
      <c r="B644" s="126"/>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c r="AD644" s="122"/>
    </row>
    <row r="645">
      <c r="A645" s="109"/>
      <c r="B645" s="126"/>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c r="AD645" s="122"/>
    </row>
    <row r="646">
      <c r="A646" s="109"/>
      <c r="B646" s="126"/>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c r="AD646" s="122"/>
    </row>
    <row r="647">
      <c r="A647" s="109"/>
      <c r="B647" s="126"/>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c r="AD647" s="122"/>
    </row>
    <row r="648">
      <c r="A648" s="109"/>
      <c r="B648" s="126"/>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2"/>
    </row>
    <row r="649">
      <c r="A649" s="109"/>
      <c r="B649" s="126"/>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c r="AD649" s="122"/>
    </row>
    <row r="650">
      <c r="A650" s="109"/>
      <c r="B650" s="126"/>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c r="AD650" s="122"/>
    </row>
    <row r="651">
      <c r="A651" s="109"/>
      <c r="B651" s="126"/>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c r="AD651" s="122"/>
    </row>
    <row r="652">
      <c r="A652" s="109"/>
      <c r="B652" s="126"/>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c r="AD652" s="122"/>
    </row>
    <row r="653">
      <c r="A653" s="109"/>
      <c r="B653" s="126"/>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c r="AD653" s="122"/>
    </row>
    <row r="654">
      <c r="A654" s="109"/>
      <c r="B654" s="126"/>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c r="AD654" s="122"/>
    </row>
    <row r="655">
      <c r="A655" s="109"/>
      <c r="B655" s="126"/>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c r="AD655" s="122"/>
    </row>
    <row r="656">
      <c r="A656" s="109"/>
      <c r="B656" s="126"/>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c r="AD656" s="122"/>
    </row>
    <row r="657">
      <c r="A657" s="109"/>
      <c r="B657" s="126"/>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c r="AD657" s="122"/>
    </row>
    <row r="658">
      <c r="A658" s="109"/>
      <c r="B658" s="126"/>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c r="AD658" s="122"/>
    </row>
    <row r="659">
      <c r="A659" s="109"/>
      <c r="B659" s="126"/>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c r="AD659" s="122"/>
    </row>
    <row r="660">
      <c r="A660" s="109"/>
      <c r="B660" s="126"/>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c r="AD660" s="122"/>
    </row>
    <row r="661">
      <c r="A661" s="109"/>
      <c r="B661" s="126"/>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c r="AD661" s="122"/>
    </row>
    <row r="662">
      <c r="A662" s="109"/>
      <c r="B662" s="126"/>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c r="AD662" s="122"/>
    </row>
    <row r="663">
      <c r="A663" s="109"/>
      <c r="B663" s="126"/>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c r="AD663" s="122"/>
    </row>
    <row r="664">
      <c r="A664" s="109"/>
      <c r="B664" s="126"/>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c r="AD664" s="122"/>
    </row>
    <row r="665">
      <c r="A665" s="109"/>
      <c r="B665" s="126"/>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c r="AD665" s="122"/>
    </row>
    <row r="666">
      <c r="A666" s="109"/>
      <c r="B666" s="126"/>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c r="AD666" s="122"/>
    </row>
    <row r="667">
      <c r="A667" s="109"/>
      <c r="B667" s="126"/>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c r="AD667" s="122"/>
    </row>
    <row r="668">
      <c r="A668" s="109"/>
      <c r="B668" s="126"/>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row>
    <row r="669">
      <c r="A669" s="109"/>
      <c r="B669" s="126"/>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c r="AD669" s="122"/>
    </row>
    <row r="670">
      <c r="A670" s="109"/>
      <c r="B670" s="126"/>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2"/>
    </row>
    <row r="671">
      <c r="A671" s="109"/>
      <c r="B671" s="126"/>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c r="AD671" s="122"/>
    </row>
    <row r="672">
      <c r="A672" s="109"/>
      <c r="B672" s="126"/>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row>
    <row r="673">
      <c r="A673" s="109"/>
      <c r="B673" s="126"/>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row>
    <row r="674">
      <c r="A674" s="109"/>
      <c r="B674" s="126"/>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row>
    <row r="675">
      <c r="A675" s="109"/>
      <c r="B675" s="126"/>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2"/>
    </row>
    <row r="676">
      <c r="A676" s="109"/>
      <c r="B676" s="126"/>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2"/>
    </row>
    <row r="677">
      <c r="A677" s="109"/>
      <c r="B677" s="126"/>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c r="AD677" s="122"/>
    </row>
    <row r="678">
      <c r="A678" s="109"/>
      <c r="B678" s="126"/>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row>
    <row r="679">
      <c r="A679" s="109"/>
      <c r="B679" s="126"/>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c r="AD679" s="122"/>
    </row>
    <row r="680">
      <c r="A680" s="109"/>
      <c r="B680" s="126"/>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2"/>
    </row>
    <row r="681">
      <c r="A681" s="109"/>
      <c r="B681" s="126"/>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c r="AD681" s="122"/>
    </row>
    <row r="682">
      <c r="A682" s="109"/>
      <c r="B682" s="126"/>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c r="AD682" s="122"/>
    </row>
    <row r="683">
      <c r="A683" s="109"/>
      <c r="B683" s="126"/>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row>
    <row r="684">
      <c r="A684" s="109"/>
      <c r="B684" s="126"/>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c r="AD684" s="122"/>
    </row>
    <row r="685">
      <c r="A685" s="109"/>
      <c r="B685" s="126"/>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c r="AD685" s="122"/>
    </row>
    <row r="686">
      <c r="A686" s="109"/>
      <c r="B686" s="126"/>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c r="AD686" s="122"/>
    </row>
    <row r="687">
      <c r="A687" s="109"/>
      <c r="B687" s="126"/>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row>
    <row r="688">
      <c r="A688" s="109"/>
      <c r="B688" s="126"/>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row>
    <row r="689">
      <c r="A689" s="109"/>
      <c r="B689" s="126"/>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row>
    <row r="690">
      <c r="A690" s="109"/>
      <c r="B690" s="126"/>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c r="AD690" s="122"/>
    </row>
    <row r="691">
      <c r="A691" s="109"/>
      <c r="B691" s="126"/>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c r="AD691" s="122"/>
    </row>
    <row r="692">
      <c r="A692" s="109"/>
      <c r="B692" s="126"/>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c r="AD692" s="122"/>
    </row>
    <row r="693">
      <c r="A693" s="109"/>
      <c r="B693" s="126"/>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row>
    <row r="694">
      <c r="A694" s="109"/>
      <c r="B694" s="126"/>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c r="AD694" s="122"/>
    </row>
    <row r="695">
      <c r="A695" s="109"/>
      <c r="B695" s="126"/>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c r="AD695" s="122"/>
    </row>
    <row r="696">
      <c r="A696" s="109"/>
      <c r="B696" s="126"/>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c r="AD696" s="122"/>
    </row>
    <row r="697">
      <c r="A697" s="109"/>
      <c r="B697" s="126"/>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c r="AD697" s="122"/>
    </row>
    <row r="698">
      <c r="A698" s="109"/>
      <c r="B698" s="126"/>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c r="AD698" s="122"/>
    </row>
    <row r="699">
      <c r="A699" s="109"/>
      <c r="B699" s="126"/>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c r="AD699" s="122"/>
    </row>
    <row r="700">
      <c r="A700" s="109"/>
      <c r="B700" s="126"/>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c r="AD700" s="122"/>
    </row>
    <row r="701">
      <c r="A701" s="109"/>
      <c r="B701" s="126"/>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c r="AD701" s="122"/>
    </row>
    <row r="702">
      <c r="A702" s="109"/>
      <c r="B702" s="126"/>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c r="AD702" s="122"/>
    </row>
    <row r="703">
      <c r="A703" s="109"/>
      <c r="B703" s="126"/>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c r="AD703" s="122"/>
    </row>
    <row r="704">
      <c r="A704" s="109"/>
      <c r="B704" s="126"/>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c r="AD704" s="122"/>
    </row>
    <row r="705">
      <c r="A705" s="109"/>
      <c r="B705" s="126"/>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c r="AD705" s="122"/>
    </row>
    <row r="706">
      <c r="A706" s="109"/>
      <c r="B706" s="126"/>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c r="AD706" s="122"/>
    </row>
    <row r="707">
      <c r="A707" s="109"/>
      <c r="B707" s="126"/>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c r="AD707" s="122"/>
    </row>
    <row r="708">
      <c r="A708" s="109"/>
      <c r="B708" s="126"/>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c r="AD708" s="122"/>
    </row>
    <row r="709">
      <c r="A709" s="109"/>
      <c r="B709" s="126"/>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c r="AD709" s="122"/>
    </row>
    <row r="710">
      <c r="A710" s="109"/>
      <c r="B710" s="126"/>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c r="AD710" s="122"/>
    </row>
    <row r="711">
      <c r="A711" s="109"/>
      <c r="B711" s="126"/>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c r="AD711" s="122"/>
    </row>
    <row r="712">
      <c r="A712" s="109"/>
      <c r="B712" s="126"/>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c r="AD712" s="122"/>
    </row>
    <row r="713">
      <c r="A713" s="109"/>
      <c r="B713" s="126"/>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c r="AD713" s="122"/>
    </row>
    <row r="714">
      <c r="A714" s="109"/>
      <c r="B714" s="126"/>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c r="AD714" s="122"/>
    </row>
    <row r="715">
      <c r="A715" s="109"/>
      <c r="B715" s="126"/>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c r="AD715" s="122"/>
    </row>
    <row r="716">
      <c r="A716" s="109"/>
      <c r="B716" s="126"/>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c r="AD716" s="122"/>
    </row>
    <row r="717">
      <c r="A717" s="109"/>
      <c r="B717" s="126"/>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c r="AD717" s="122"/>
    </row>
    <row r="718">
      <c r="A718" s="109"/>
      <c r="B718" s="126"/>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c r="AD718" s="122"/>
    </row>
    <row r="719">
      <c r="A719" s="109"/>
      <c r="B719" s="126"/>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c r="AD719" s="122"/>
    </row>
    <row r="720">
      <c r="A720" s="109"/>
      <c r="B720" s="126"/>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c r="AD720" s="122"/>
    </row>
    <row r="721">
      <c r="A721" s="109"/>
      <c r="B721" s="126"/>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c r="AD721" s="122"/>
    </row>
    <row r="722">
      <c r="A722" s="109"/>
      <c r="B722" s="126"/>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c r="AD722" s="122"/>
    </row>
    <row r="723">
      <c r="A723" s="109"/>
      <c r="B723" s="126"/>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c r="AD723" s="122"/>
    </row>
    <row r="724">
      <c r="A724" s="109"/>
      <c r="B724" s="126"/>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c r="AD724" s="122"/>
    </row>
    <row r="725">
      <c r="A725" s="109"/>
      <c r="B725" s="126"/>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c r="AD725" s="122"/>
    </row>
    <row r="726">
      <c r="A726" s="109"/>
      <c r="B726" s="126"/>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c r="AD726" s="122"/>
    </row>
    <row r="727">
      <c r="A727" s="109"/>
      <c r="B727" s="126"/>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c r="AD727" s="122"/>
    </row>
    <row r="728">
      <c r="A728" s="109"/>
      <c r="B728" s="126"/>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c r="AD728" s="122"/>
    </row>
    <row r="729">
      <c r="A729" s="109"/>
      <c r="B729" s="126"/>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c r="AD729" s="122"/>
    </row>
    <row r="730">
      <c r="A730" s="109"/>
      <c r="B730" s="126"/>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c r="AD730" s="122"/>
    </row>
    <row r="731">
      <c r="A731" s="109"/>
      <c r="B731" s="126"/>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c r="AD731" s="122"/>
    </row>
    <row r="732">
      <c r="A732" s="109"/>
      <c r="B732" s="126"/>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c r="AD732" s="122"/>
    </row>
    <row r="733">
      <c r="A733" s="109"/>
      <c r="B733" s="126"/>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c r="AD733" s="122"/>
    </row>
    <row r="734">
      <c r="A734" s="109"/>
      <c r="B734" s="126"/>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c r="AD734" s="122"/>
    </row>
    <row r="735">
      <c r="A735" s="109"/>
      <c r="B735" s="126"/>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c r="AD735" s="122"/>
    </row>
    <row r="736">
      <c r="A736" s="109"/>
      <c r="B736" s="126"/>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c r="AD736" s="122"/>
    </row>
    <row r="737">
      <c r="A737" s="109"/>
      <c r="B737" s="126"/>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c r="AD737" s="122"/>
    </row>
    <row r="738">
      <c r="A738" s="109"/>
      <c r="B738" s="126"/>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c r="AD738" s="122"/>
    </row>
    <row r="739">
      <c r="A739" s="109"/>
      <c r="B739" s="126"/>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c r="AD739" s="122"/>
    </row>
    <row r="740">
      <c r="A740" s="109"/>
      <c r="B740" s="126"/>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c r="AD740" s="122"/>
    </row>
    <row r="741">
      <c r="A741" s="109"/>
      <c r="B741" s="126"/>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c r="AD741" s="122"/>
    </row>
    <row r="742">
      <c r="A742" s="109"/>
      <c r="B742" s="126"/>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c r="AD742" s="122"/>
    </row>
    <row r="743">
      <c r="A743" s="109"/>
      <c r="B743" s="126"/>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c r="AD743" s="122"/>
    </row>
    <row r="744">
      <c r="A744" s="109"/>
      <c r="B744" s="126"/>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c r="AD744" s="122"/>
    </row>
    <row r="745">
      <c r="A745" s="109"/>
      <c r="B745" s="126"/>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c r="AD745" s="122"/>
    </row>
    <row r="746">
      <c r="A746" s="109"/>
      <c r="B746" s="126"/>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c r="AD746" s="122"/>
    </row>
    <row r="747">
      <c r="A747" s="109"/>
      <c r="B747" s="126"/>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c r="AD747" s="122"/>
    </row>
    <row r="748">
      <c r="A748" s="109"/>
      <c r="B748" s="126"/>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c r="AD748" s="122"/>
    </row>
    <row r="749">
      <c r="A749" s="109"/>
      <c r="B749" s="126"/>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c r="AD749" s="122"/>
    </row>
    <row r="750">
      <c r="A750" s="109"/>
      <c r="B750" s="126"/>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c r="AD750" s="122"/>
    </row>
    <row r="751">
      <c r="A751" s="109"/>
      <c r="B751" s="126"/>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c r="AD751" s="122"/>
    </row>
    <row r="752">
      <c r="A752" s="109"/>
      <c r="B752" s="126"/>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2"/>
    </row>
    <row r="753">
      <c r="A753" s="109"/>
      <c r="B753" s="126"/>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c r="AD753" s="122"/>
    </row>
    <row r="754">
      <c r="A754" s="109"/>
      <c r="B754" s="126"/>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c r="AD754" s="122"/>
    </row>
    <row r="755">
      <c r="A755" s="109"/>
      <c r="B755" s="126"/>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c r="AD755" s="122"/>
    </row>
    <row r="756">
      <c r="A756" s="109"/>
      <c r="B756" s="126"/>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c r="AD756" s="122"/>
    </row>
    <row r="757">
      <c r="A757" s="109"/>
      <c r="B757" s="126"/>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c r="AD757" s="122"/>
    </row>
    <row r="758">
      <c r="A758" s="109"/>
      <c r="B758" s="126"/>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c r="AD758" s="122"/>
    </row>
    <row r="759">
      <c r="A759" s="109"/>
      <c r="B759" s="126"/>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c r="AD759" s="122"/>
    </row>
    <row r="760">
      <c r="A760" s="109"/>
      <c r="B760" s="126"/>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c r="AD760" s="122"/>
    </row>
    <row r="761">
      <c r="A761" s="109"/>
      <c r="B761" s="126"/>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c r="AD761" s="122"/>
    </row>
    <row r="762">
      <c r="A762" s="109"/>
      <c r="B762" s="126"/>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c r="AD762" s="122"/>
    </row>
    <row r="763">
      <c r="A763" s="109"/>
      <c r="B763" s="126"/>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c r="AD763" s="122"/>
    </row>
    <row r="764">
      <c r="A764" s="109"/>
      <c r="B764" s="126"/>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c r="AD764" s="122"/>
    </row>
    <row r="765">
      <c r="A765" s="109"/>
      <c r="B765" s="126"/>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c r="AD765" s="122"/>
    </row>
    <row r="766">
      <c r="A766" s="109"/>
      <c r="B766" s="126"/>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c r="AD766" s="122"/>
    </row>
    <row r="767">
      <c r="A767" s="109"/>
      <c r="B767" s="126"/>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c r="AD767" s="122"/>
    </row>
    <row r="768">
      <c r="A768" s="109"/>
      <c r="B768" s="126"/>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c r="AD768" s="122"/>
    </row>
    <row r="769">
      <c r="A769" s="109"/>
      <c r="B769" s="126"/>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c r="AD769" s="122"/>
    </row>
    <row r="770">
      <c r="A770" s="109"/>
      <c r="B770" s="126"/>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c r="AD770" s="122"/>
    </row>
    <row r="771">
      <c r="A771" s="109"/>
      <c r="B771" s="126"/>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c r="AD771" s="122"/>
    </row>
    <row r="772">
      <c r="A772" s="109"/>
      <c r="B772" s="126"/>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c r="AD772" s="122"/>
    </row>
    <row r="773">
      <c r="A773" s="109"/>
      <c r="B773" s="126"/>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c r="AD773" s="122"/>
    </row>
    <row r="774">
      <c r="A774" s="109"/>
      <c r="B774" s="126"/>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c r="AD774" s="122"/>
    </row>
    <row r="775">
      <c r="A775" s="109"/>
      <c r="B775" s="126"/>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c r="AD775" s="122"/>
    </row>
    <row r="776">
      <c r="A776" s="109"/>
      <c r="B776" s="126"/>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c r="AD776" s="122"/>
    </row>
    <row r="777">
      <c r="A777" s="109"/>
      <c r="B777" s="126"/>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c r="AD777" s="122"/>
    </row>
    <row r="778">
      <c r="A778" s="109"/>
      <c r="B778" s="126"/>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c r="AD778" s="122"/>
    </row>
    <row r="779">
      <c r="A779" s="109"/>
      <c r="B779" s="126"/>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c r="AD779" s="122"/>
    </row>
    <row r="780">
      <c r="A780" s="109"/>
      <c r="B780" s="126"/>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c r="AD780" s="122"/>
    </row>
    <row r="781">
      <c r="A781" s="109"/>
      <c r="B781" s="126"/>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c r="AD781" s="122"/>
    </row>
    <row r="782">
      <c r="A782" s="109"/>
      <c r="B782" s="126"/>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c r="AD782" s="122"/>
    </row>
    <row r="783">
      <c r="A783" s="109"/>
      <c r="B783" s="126"/>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c r="AD783" s="122"/>
    </row>
    <row r="784">
      <c r="A784" s="109"/>
      <c r="B784" s="126"/>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c r="AD784" s="122"/>
    </row>
    <row r="785">
      <c r="A785" s="109"/>
      <c r="B785" s="126"/>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c r="AD785" s="122"/>
    </row>
    <row r="786">
      <c r="A786" s="109"/>
      <c r="B786" s="126"/>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c r="AD786" s="122"/>
    </row>
    <row r="787">
      <c r="A787" s="109"/>
      <c r="B787" s="126"/>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c r="AD787" s="122"/>
    </row>
    <row r="788">
      <c r="A788" s="109"/>
      <c r="B788" s="126"/>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c r="AD788" s="122"/>
    </row>
    <row r="789">
      <c r="A789" s="109"/>
      <c r="B789" s="126"/>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c r="AD789" s="122"/>
    </row>
    <row r="790">
      <c r="A790" s="109"/>
      <c r="B790" s="126"/>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c r="AD790" s="122"/>
    </row>
    <row r="791">
      <c r="A791" s="109"/>
      <c r="B791" s="126"/>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c r="AD791" s="122"/>
    </row>
    <row r="792">
      <c r="A792" s="109"/>
      <c r="B792" s="126"/>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c r="AD792" s="122"/>
    </row>
    <row r="793">
      <c r="A793" s="109"/>
      <c r="B793" s="126"/>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c r="AD793" s="122"/>
    </row>
    <row r="794">
      <c r="A794" s="109"/>
      <c r="B794" s="126"/>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c r="AD794" s="122"/>
    </row>
    <row r="795">
      <c r="A795" s="109"/>
      <c r="B795" s="126"/>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c r="AD795" s="122"/>
    </row>
    <row r="796">
      <c r="A796" s="109"/>
      <c r="B796" s="126"/>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c r="AD796" s="122"/>
    </row>
    <row r="797">
      <c r="A797" s="109"/>
      <c r="B797" s="126"/>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c r="AD797" s="122"/>
    </row>
    <row r="798">
      <c r="A798" s="109"/>
      <c r="B798" s="126"/>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c r="AD798" s="122"/>
    </row>
    <row r="799">
      <c r="A799" s="109"/>
      <c r="B799" s="126"/>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c r="AD799" s="122"/>
    </row>
    <row r="800">
      <c r="A800" s="109"/>
      <c r="B800" s="126"/>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c r="AD800" s="122"/>
    </row>
    <row r="801">
      <c r="A801" s="109"/>
      <c r="B801" s="126"/>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c r="AD801" s="122"/>
    </row>
    <row r="802">
      <c r="A802" s="109"/>
      <c r="B802" s="126"/>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c r="AD802" s="122"/>
    </row>
    <row r="803">
      <c r="A803" s="109"/>
      <c r="B803" s="126"/>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c r="AD803" s="122"/>
    </row>
    <row r="804">
      <c r="A804" s="109"/>
      <c r="B804" s="126"/>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c r="AD804" s="122"/>
    </row>
    <row r="805">
      <c r="A805" s="109"/>
      <c r="B805" s="126"/>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c r="AD805" s="122"/>
    </row>
    <row r="806">
      <c r="A806" s="109"/>
      <c r="B806" s="126"/>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c r="AD806" s="122"/>
    </row>
    <row r="807">
      <c r="A807" s="109"/>
      <c r="B807" s="126"/>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c r="AD807" s="122"/>
    </row>
    <row r="808">
      <c r="A808" s="109"/>
      <c r="B808" s="126"/>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c r="AD808" s="122"/>
    </row>
    <row r="809">
      <c r="A809" s="109"/>
      <c r="B809" s="126"/>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c r="AD809" s="122"/>
    </row>
    <row r="810">
      <c r="A810" s="109"/>
      <c r="B810" s="126"/>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c r="AD810" s="122"/>
    </row>
    <row r="811">
      <c r="A811" s="109"/>
      <c r="B811" s="126"/>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c r="AD811" s="122"/>
    </row>
    <row r="812">
      <c r="A812" s="109"/>
      <c r="B812" s="126"/>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c r="AD812" s="122"/>
    </row>
    <row r="813">
      <c r="A813" s="109"/>
      <c r="B813" s="126"/>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c r="AD813" s="122"/>
    </row>
    <row r="814">
      <c r="A814" s="109"/>
      <c r="B814" s="126"/>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c r="AD814" s="122"/>
    </row>
    <row r="815">
      <c r="A815" s="109"/>
      <c r="B815" s="126"/>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c r="AD815" s="122"/>
    </row>
    <row r="816">
      <c r="A816" s="109"/>
      <c r="B816" s="126"/>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c r="AD816" s="122"/>
    </row>
    <row r="817">
      <c r="A817" s="109"/>
      <c r="B817" s="126"/>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c r="AD817" s="122"/>
    </row>
    <row r="818">
      <c r="A818" s="109"/>
      <c r="B818" s="126"/>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c r="AD818" s="122"/>
    </row>
    <row r="819">
      <c r="A819" s="109"/>
      <c r="B819" s="126"/>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c r="AD819" s="122"/>
    </row>
    <row r="820">
      <c r="A820" s="109"/>
      <c r="B820" s="126"/>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c r="AD820" s="122"/>
    </row>
    <row r="821">
      <c r="A821" s="109"/>
      <c r="B821" s="126"/>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c r="AD821" s="122"/>
    </row>
    <row r="822">
      <c r="A822" s="109"/>
      <c r="B822" s="126"/>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c r="AD822" s="122"/>
    </row>
    <row r="823">
      <c r="A823" s="109"/>
      <c r="B823" s="126"/>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c r="AD823" s="122"/>
    </row>
    <row r="824">
      <c r="A824" s="109"/>
      <c r="B824" s="126"/>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c r="AD824" s="122"/>
    </row>
    <row r="825">
      <c r="A825" s="109"/>
      <c r="B825" s="126"/>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c r="AD825" s="122"/>
    </row>
    <row r="826">
      <c r="A826" s="109"/>
      <c r="B826" s="126"/>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c r="AD826" s="122"/>
    </row>
    <row r="827">
      <c r="A827" s="109"/>
      <c r="B827" s="126"/>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c r="AD827" s="122"/>
    </row>
    <row r="828">
      <c r="A828" s="109"/>
      <c r="B828" s="126"/>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c r="AD828" s="122"/>
    </row>
    <row r="829">
      <c r="A829" s="109"/>
      <c r="B829" s="126"/>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c r="AD829" s="122"/>
    </row>
    <row r="830">
      <c r="A830" s="109"/>
      <c r="B830" s="126"/>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c r="AD830" s="122"/>
    </row>
    <row r="831">
      <c r="A831" s="109"/>
      <c r="B831" s="126"/>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c r="AD831" s="122"/>
    </row>
    <row r="832">
      <c r="A832" s="109"/>
      <c r="B832" s="126"/>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c r="AD832" s="122"/>
    </row>
    <row r="833">
      <c r="A833" s="109"/>
      <c r="B833" s="126"/>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c r="AD833" s="122"/>
    </row>
    <row r="834">
      <c r="A834" s="109"/>
      <c r="B834" s="126"/>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c r="AD834" s="122"/>
    </row>
    <row r="835">
      <c r="A835" s="109"/>
      <c r="B835" s="126"/>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c r="AD835" s="122"/>
    </row>
    <row r="836">
      <c r="A836" s="109"/>
      <c r="B836" s="126"/>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c r="AD836" s="122"/>
    </row>
    <row r="837">
      <c r="A837" s="109"/>
      <c r="B837" s="126"/>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c r="AD837" s="122"/>
    </row>
    <row r="838">
      <c r="A838" s="109"/>
      <c r="B838" s="126"/>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c r="AD838" s="122"/>
    </row>
    <row r="839">
      <c r="A839" s="109"/>
      <c r="B839" s="126"/>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c r="AD839" s="122"/>
    </row>
    <row r="840">
      <c r="A840" s="109"/>
      <c r="B840" s="126"/>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c r="AD840" s="122"/>
    </row>
    <row r="841">
      <c r="A841" s="109"/>
      <c r="B841" s="126"/>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c r="AD841" s="122"/>
    </row>
    <row r="842">
      <c r="A842" s="109"/>
      <c r="B842" s="126"/>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c r="AD842" s="122"/>
    </row>
    <row r="843">
      <c r="A843" s="109"/>
      <c r="B843" s="126"/>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c r="AD843" s="122"/>
    </row>
    <row r="844">
      <c r="A844" s="109"/>
      <c r="B844" s="126"/>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c r="AD844" s="122"/>
    </row>
    <row r="845">
      <c r="A845" s="109"/>
      <c r="B845" s="126"/>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c r="AD845" s="122"/>
    </row>
    <row r="846">
      <c r="A846" s="109"/>
      <c r="B846" s="126"/>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c r="AD846" s="122"/>
    </row>
    <row r="847">
      <c r="A847" s="109"/>
      <c r="B847" s="126"/>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c r="AD847" s="122"/>
    </row>
    <row r="848">
      <c r="A848" s="109"/>
      <c r="B848" s="126"/>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c r="AD848" s="122"/>
    </row>
    <row r="849">
      <c r="A849" s="109"/>
      <c r="B849" s="126"/>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c r="AD849" s="122"/>
    </row>
    <row r="850">
      <c r="A850" s="109"/>
      <c r="B850" s="126"/>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c r="AD850" s="122"/>
    </row>
    <row r="851">
      <c r="A851" s="109"/>
      <c r="B851" s="126"/>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c r="AD851" s="122"/>
    </row>
    <row r="852">
      <c r="A852" s="109"/>
      <c r="B852" s="126"/>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c r="AD852" s="122"/>
    </row>
    <row r="853">
      <c r="A853" s="109"/>
      <c r="B853" s="126"/>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c r="AD853" s="122"/>
    </row>
    <row r="854">
      <c r="A854" s="109"/>
      <c r="B854" s="126"/>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c r="AD854" s="122"/>
    </row>
    <row r="855">
      <c r="A855" s="109"/>
      <c r="B855" s="126"/>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c r="AD855" s="122"/>
    </row>
    <row r="856">
      <c r="A856" s="109"/>
      <c r="B856" s="126"/>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c r="AD856" s="122"/>
    </row>
    <row r="857">
      <c r="A857" s="109"/>
      <c r="B857" s="126"/>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c r="AD857" s="122"/>
    </row>
    <row r="858">
      <c r="A858" s="109"/>
      <c r="B858" s="126"/>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c r="AD858" s="122"/>
    </row>
    <row r="859">
      <c r="A859" s="109"/>
      <c r="B859" s="126"/>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c r="AD859" s="122"/>
    </row>
    <row r="860">
      <c r="A860" s="109"/>
      <c r="B860" s="126"/>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c r="AD860" s="122"/>
    </row>
    <row r="861">
      <c r="A861" s="109"/>
      <c r="B861" s="126"/>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c r="AD861" s="122"/>
    </row>
    <row r="862">
      <c r="A862" s="109"/>
      <c r="B862" s="126"/>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c r="AD862" s="122"/>
    </row>
    <row r="863">
      <c r="A863" s="109"/>
      <c r="B863" s="126"/>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c r="AD863" s="122"/>
    </row>
    <row r="864">
      <c r="A864" s="109"/>
      <c r="B864" s="126"/>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c r="AD864" s="122"/>
    </row>
    <row r="865">
      <c r="A865" s="109"/>
      <c r="B865" s="126"/>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c r="AD865" s="122"/>
    </row>
    <row r="866">
      <c r="A866" s="109"/>
      <c r="B866" s="126"/>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c r="AD866" s="122"/>
    </row>
    <row r="867">
      <c r="A867" s="109"/>
      <c r="B867" s="126"/>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c r="AD867" s="122"/>
    </row>
    <row r="868">
      <c r="A868" s="109"/>
      <c r="B868" s="126"/>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c r="AD868" s="122"/>
    </row>
    <row r="869">
      <c r="A869" s="109"/>
      <c r="B869" s="126"/>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c r="AD869" s="122"/>
    </row>
    <row r="870">
      <c r="A870" s="109"/>
      <c r="B870" s="126"/>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c r="AD870" s="122"/>
    </row>
    <row r="871">
      <c r="A871" s="109"/>
      <c r="B871" s="126"/>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c r="AD871" s="122"/>
    </row>
    <row r="872">
      <c r="A872" s="109"/>
      <c r="B872" s="126"/>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c r="AD872" s="122"/>
    </row>
    <row r="873">
      <c r="A873" s="109"/>
      <c r="B873" s="126"/>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c r="AD873" s="122"/>
    </row>
    <row r="874">
      <c r="A874" s="109"/>
      <c r="B874" s="126"/>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c r="AD874" s="122"/>
    </row>
    <row r="875">
      <c r="A875" s="109"/>
      <c r="B875" s="126"/>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c r="AD875" s="122"/>
    </row>
    <row r="876">
      <c r="A876" s="109"/>
      <c r="B876" s="126"/>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c r="AD876" s="122"/>
    </row>
    <row r="877">
      <c r="A877" s="109"/>
      <c r="B877" s="126"/>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c r="AD877" s="122"/>
    </row>
    <row r="878">
      <c r="A878" s="109"/>
      <c r="B878" s="126"/>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c r="AD878" s="122"/>
    </row>
    <row r="879">
      <c r="A879" s="109"/>
      <c r="B879" s="126"/>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c r="AD879" s="122"/>
    </row>
    <row r="880">
      <c r="A880" s="109"/>
      <c r="B880" s="126"/>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c r="AD880" s="122"/>
    </row>
    <row r="881">
      <c r="A881" s="109"/>
      <c r="B881" s="126"/>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c r="AD881" s="122"/>
    </row>
    <row r="882">
      <c r="A882" s="109"/>
      <c r="B882" s="126"/>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c r="AD882" s="122"/>
    </row>
    <row r="883">
      <c r="A883" s="109"/>
      <c r="B883" s="126"/>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c r="AD883" s="122"/>
    </row>
    <row r="884">
      <c r="A884" s="109"/>
      <c r="B884" s="126"/>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c r="AD884" s="122"/>
    </row>
    <row r="885">
      <c r="A885" s="109"/>
      <c r="B885" s="126"/>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c r="AD885" s="122"/>
    </row>
    <row r="886">
      <c r="A886" s="109"/>
      <c r="B886" s="126"/>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c r="AD886" s="122"/>
    </row>
    <row r="887">
      <c r="A887" s="109"/>
      <c r="B887" s="126"/>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c r="AD887" s="122"/>
    </row>
    <row r="888">
      <c r="A888" s="109"/>
      <c r="B888" s="126"/>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c r="AD888" s="122"/>
    </row>
    <row r="889">
      <c r="A889" s="109"/>
      <c r="B889" s="126"/>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c r="AD889" s="122"/>
    </row>
    <row r="890">
      <c r="A890" s="109"/>
      <c r="B890" s="126"/>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c r="AD890" s="122"/>
    </row>
    <row r="891">
      <c r="A891" s="109"/>
      <c r="B891" s="126"/>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c r="AD891" s="122"/>
    </row>
    <row r="892">
      <c r="A892" s="109"/>
      <c r="B892" s="126"/>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c r="AD892" s="122"/>
    </row>
    <row r="893">
      <c r="A893" s="109"/>
      <c r="B893" s="126"/>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c r="AD893" s="122"/>
    </row>
    <row r="894">
      <c r="A894" s="109"/>
      <c r="B894" s="126"/>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c r="AD894" s="122"/>
    </row>
    <row r="895">
      <c r="A895" s="109"/>
      <c r="B895" s="126"/>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c r="AD895" s="122"/>
    </row>
    <row r="896">
      <c r="A896" s="109"/>
      <c r="B896" s="126"/>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c r="AD896" s="122"/>
    </row>
    <row r="897">
      <c r="A897" s="109"/>
      <c r="B897" s="126"/>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c r="AD897" s="122"/>
    </row>
    <row r="898">
      <c r="A898" s="109"/>
      <c r="B898" s="126"/>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c r="AD898" s="122"/>
    </row>
    <row r="899">
      <c r="A899" s="109"/>
      <c r="B899" s="126"/>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c r="AD899" s="122"/>
    </row>
    <row r="900">
      <c r="A900" s="109"/>
      <c r="B900" s="126"/>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c r="AD900" s="122"/>
    </row>
    <row r="901">
      <c r="A901" s="109"/>
      <c r="B901" s="126"/>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c r="AD901" s="122"/>
    </row>
    <row r="902">
      <c r="A902" s="109"/>
      <c r="B902" s="126"/>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c r="AD902" s="122"/>
    </row>
    <row r="903">
      <c r="A903" s="109"/>
      <c r="B903" s="126"/>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c r="AD903" s="122"/>
    </row>
    <row r="904">
      <c r="A904" s="109"/>
      <c r="B904" s="126"/>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c r="AD904" s="122"/>
    </row>
    <row r="905">
      <c r="A905" s="109"/>
      <c r="B905" s="126"/>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c r="AD905" s="122"/>
    </row>
    <row r="906">
      <c r="A906" s="109"/>
      <c r="B906" s="126"/>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c r="AD906" s="122"/>
    </row>
    <row r="907">
      <c r="A907" s="109"/>
      <c r="B907" s="126"/>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c r="AD907" s="122"/>
    </row>
    <row r="908">
      <c r="A908" s="109"/>
      <c r="B908" s="126"/>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c r="AD908" s="122"/>
    </row>
    <row r="909">
      <c r="A909" s="109"/>
      <c r="B909" s="126"/>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c r="AD909" s="122"/>
    </row>
    <row r="910">
      <c r="A910" s="109"/>
      <c r="B910" s="126"/>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row>
    <row r="911">
      <c r="A911" s="109"/>
      <c r="B911" s="126"/>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row>
    <row r="912">
      <c r="A912" s="109"/>
      <c r="B912" s="126"/>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c r="AD912" s="122"/>
    </row>
    <row r="913">
      <c r="A913" s="109"/>
      <c r="B913" s="126"/>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c r="AD913" s="122"/>
    </row>
    <row r="914">
      <c r="A914" s="109"/>
      <c r="B914" s="126"/>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c r="AD914" s="122"/>
    </row>
    <row r="915">
      <c r="A915" s="109"/>
      <c r="B915" s="126"/>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c r="AD915" s="122"/>
    </row>
    <row r="916">
      <c r="A916" s="109"/>
      <c r="B916" s="126"/>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c r="AD916" s="122"/>
    </row>
    <row r="917">
      <c r="A917" s="109"/>
      <c r="B917" s="126"/>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c r="AD917" s="122"/>
    </row>
    <row r="918">
      <c r="A918" s="109"/>
      <c r="B918" s="126"/>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c r="AD918" s="122"/>
    </row>
    <row r="919">
      <c r="A919" s="109"/>
      <c r="B919" s="126"/>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c r="AD919" s="122"/>
    </row>
    <row r="920">
      <c r="A920" s="109"/>
      <c r="B920" s="126"/>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c r="AD920" s="122"/>
    </row>
    <row r="921">
      <c r="A921" s="109"/>
      <c r="B921" s="126"/>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c r="AD921" s="122"/>
    </row>
    <row r="922">
      <c r="A922" s="109"/>
      <c r="B922" s="126"/>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c r="AD922" s="122"/>
    </row>
    <row r="923">
      <c r="A923" s="109"/>
      <c r="B923" s="126"/>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c r="AD923" s="122"/>
    </row>
    <row r="924">
      <c r="A924" s="109"/>
      <c r="B924" s="126"/>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c r="AD924" s="122"/>
    </row>
    <row r="925">
      <c r="A925" s="109"/>
      <c r="B925" s="126"/>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c r="AD925" s="122"/>
    </row>
    <row r="926">
      <c r="A926" s="109"/>
      <c r="B926" s="126"/>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c r="AD926" s="122"/>
    </row>
    <row r="927">
      <c r="A927" s="109"/>
      <c r="B927" s="126"/>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c r="AD927" s="122"/>
    </row>
    <row r="928">
      <c r="A928" s="109"/>
      <c r="B928" s="126"/>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c r="AD928" s="122"/>
    </row>
    <row r="929">
      <c r="A929" s="109"/>
      <c r="B929" s="126"/>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c r="AD929" s="122"/>
    </row>
    <row r="930">
      <c r="A930" s="109"/>
      <c r="B930" s="126"/>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c r="AD930" s="122"/>
    </row>
    <row r="931">
      <c r="A931" s="109"/>
      <c r="B931" s="126"/>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c r="AD931" s="122"/>
    </row>
    <row r="932">
      <c r="A932" s="109"/>
      <c r="B932" s="126"/>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c r="AD932" s="122"/>
    </row>
    <row r="933">
      <c r="A933" s="109"/>
      <c r="B933" s="126"/>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c r="AD933" s="122"/>
    </row>
    <row r="934">
      <c r="A934" s="109"/>
      <c r="B934" s="126"/>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c r="AD934" s="122"/>
    </row>
    <row r="935">
      <c r="A935" s="109"/>
      <c r="B935" s="126"/>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c r="AD935" s="122"/>
    </row>
    <row r="936">
      <c r="A936" s="109"/>
      <c r="B936" s="126"/>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c r="AD936" s="122"/>
    </row>
    <row r="937">
      <c r="A937" s="109"/>
      <c r="B937" s="126"/>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c r="AD937" s="122"/>
    </row>
    <row r="938">
      <c r="A938" s="109"/>
      <c r="B938" s="126"/>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c r="AD938" s="122"/>
    </row>
    <row r="939">
      <c r="A939" s="109"/>
      <c r="B939" s="126"/>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c r="AD939" s="122"/>
    </row>
    <row r="940">
      <c r="A940" s="109"/>
      <c r="B940" s="126"/>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c r="AD940" s="122"/>
    </row>
    <row r="941">
      <c r="A941" s="109"/>
      <c r="B941" s="126"/>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c r="AD941" s="122"/>
    </row>
    <row r="942">
      <c r="A942" s="109"/>
      <c r="B942" s="126"/>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c r="AD942" s="122"/>
    </row>
    <row r="943">
      <c r="A943" s="109"/>
      <c r="B943" s="126"/>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c r="AD943" s="122"/>
    </row>
    <row r="944">
      <c r="A944" s="109"/>
      <c r="B944" s="126"/>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c r="AD944" s="122"/>
    </row>
    <row r="945">
      <c r="A945" s="109"/>
      <c r="B945" s="126"/>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c r="AD945" s="122"/>
    </row>
    <row r="946">
      <c r="A946" s="109"/>
      <c r="B946" s="126"/>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c r="AD946" s="122"/>
    </row>
    <row r="947">
      <c r="A947" s="109"/>
      <c r="B947" s="126"/>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c r="AD947" s="122"/>
    </row>
    <row r="948">
      <c r="A948" s="109"/>
      <c r="B948" s="126"/>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c r="AD948" s="122"/>
    </row>
    <row r="949">
      <c r="A949" s="109"/>
      <c r="B949" s="126"/>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c r="AD949" s="122"/>
    </row>
    <row r="950">
      <c r="A950" s="109"/>
      <c r="B950" s="126"/>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c r="AD950" s="122"/>
    </row>
    <row r="951">
      <c r="A951" s="109"/>
      <c r="B951" s="126"/>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c r="AD951" s="122"/>
    </row>
    <row r="952">
      <c r="A952" s="109"/>
      <c r="B952" s="126"/>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c r="AD952" s="122"/>
    </row>
    <row r="953">
      <c r="A953" s="109"/>
      <c r="B953" s="126"/>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c r="AD953" s="122"/>
    </row>
    <row r="954">
      <c r="A954" s="109"/>
      <c r="B954" s="126"/>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c r="AD954" s="122"/>
    </row>
    <row r="955">
      <c r="A955" s="109"/>
      <c r="B955" s="126"/>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c r="AD955" s="122"/>
    </row>
    <row r="956">
      <c r="A956" s="109"/>
      <c r="B956" s="126"/>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c r="AD956" s="122"/>
    </row>
    <row r="957">
      <c r="A957" s="109"/>
      <c r="B957" s="126"/>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c r="AD957" s="122"/>
    </row>
    <row r="958">
      <c r="A958" s="109"/>
      <c r="B958" s="126"/>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c r="AD958" s="122"/>
    </row>
    <row r="959">
      <c r="A959" s="109"/>
      <c r="B959" s="126"/>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c r="AD959" s="122"/>
    </row>
    <row r="960">
      <c r="A960" s="109"/>
      <c r="B960" s="126"/>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c r="AD960" s="122"/>
    </row>
    <row r="961">
      <c r="A961" s="109"/>
      <c r="B961" s="126"/>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c r="AD961" s="122"/>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0"/>
    <col customWidth="1" min="2" max="2" width="36.5"/>
    <col customWidth="1" min="3" max="21" width="7.63"/>
    <col customWidth="1" min="22" max="22" width="8.88"/>
    <col customWidth="1" min="23" max="27" width="7.63"/>
    <col customWidth="1" min="28" max="28" width="15.88"/>
    <col customWidth="1" min="29" max="29" width="7.63"/>
  </cols>
  <sheetData>
    <row r="1">
      <c r="A1" s="109"/>
      <c r="B1" s="30" t="s">
        <v>58</v>
      </c>
      <c r="C1" s="30" t="s">
        <v>5</v>
      </c>
      <c r="D1" s="31"/>
      <c r="E1" s="31"/>
      <c r="F1" s="30"/>
      <c r="G1" s="30"/>
      <c r="H1" s="30"/>
      <c r="I1" s="30"/>
      <c r="J1" s="31"/>
      <c r="K1" s="31"/>
      <c r="L1" s="31"/>
      <c r="M1" s="30" t="s">
        <v>6</v>
      </c>
      <c r="N1" s="33"/>
      <c r="O1" s="33"/>
      <c r="P1" s="33"/>
      <c r="Q1" s="31"/>
      <c r="R1" s="30" t="s">
        <v>7</v>
      </c>
      <c r="S1" s="110"/>
      <c r="T1" s="31"/>
      <c r="U1" s="30"/>
      <c r="V1" s="31"/>
      <c r="W1" s="30" t="s">
        <v>8</v>
      </c>
      <c r="X1" s="111"/>
      <c r="Y1" s="31"/>
      <c r="Z1" s="31"/>
      <c r="AA1" s="112" t="s">
        <v>59</v>
      </c>
      <c r="AB1" s="113"/>
      <c r="AC1" s="113"/>
      <c r="AD1" s="113"/>
    </row>
    <row r="2">
      <c r="A2" s="109"/>
      <c r="B2" s="114" t="s">
        <v>30</v>
      </c>
      <c r="C2" s="115" t="s">
        <v>11</v>
      </c>
      <c r="D2" s="115" t="s">
        <v>12</v>
      </c>
      <c r="E2" s="114" t="s">
        <v>13</v>
      </c>
      <c r="F2" s="114" t="s">
        <v>14</v>
      </c>
      <c r="G2" s="114" t="s">
        <v>15</v>
      </c>
      <c r="H2" s="114" t="s">
        <v>60</v>
      </c>
      <c r="I2" s="114" t="s">
        <v>17</v>
      </c>
      <c r="J2" s="115" t="s">
        <v>18</v>
      </c>
      <c r="K2" s="114" t="s">
        <v>19</v>
      </c>
      <c r="L2" s="114" t="s">
        <v>61</v>
      </c>
      <c r="M2" s="114" t="s">
        <v>62</v>
      </c>
      <c r="N2" s="114" t="s">
        <v>63</v>
      </c>
      <c r="O2" s="114" t="s">
        <v>64</v>
      </c>
      <c r="P2" s="114" t="s">
        <v>65</v>
      </c>
      <c r="Q2" s="114" t="s">
        <v>66</v>
      </c>
      <c r="R2" s="114" t="s">
        <v>67</v>
      </c>
      <c r="S2" s="114" t="s">
        <v>68</v>
      </c>
      <c r="T2" s="114" t="s">
        <v>27</v>
      </c>
      <c r="U2" s="115" t="s">
        <v>28</v>
      </c>
      <c r="V2" s="114" t="s">
        <v>69</v>
      </c>
      <c r="W2" s="114" t="s">
        <v>67</v>
      </c>
      <c r="X2" s="114" t="s">
        <v>29</v>
      </c>
      <c r="Y2" s="114" t="s">
        <v>19</v>
      </c>
      <c r="Z2" s="114" t="s">
        <v>70</v>
      </c>
      <c r="AA2" s="116" t="s">
        <v>30</v>
      </c>
      <c r="AB2" s="113"/>
      <c r="AC2" s="113"/>
      <c r="AD2" s="113"/>
    </row>
    <row r="3">
      <c r="A3" s="136"/>
      <c r="B3" s="127" t="s">
        <v>152</v>
      </c>
      <c r="C3" s="128"/>
      <c r="D3" s="127">
        <v>1956.0</v>
      </c>
      <c r="E3" s="128"/>
      <c r="F3" s="128"/>
      <c r="G3" s="128"/>
      <c r="H3" s="128"/>
      <c r="I3" s="128"/>
      <c r="J3" s="128"/>
      <c r="K3" s="128"/>
      <c r="L3" s="128"/>
      <c r="M3" s="127"/>
      <c r="N3" s="127"/>
      <c r="O3" s="128"/>
      <c r="P3" s="128"/>
      <c r="Q3" s="128"/>
      <c r="R3" s="128"/>
      <c r="S3" s="128"/>
      <c r="T3" s="128"/>
      <c r="U3" s="127"/>
      <c r="V3" s="129"/>
      <c r="W3" s="128"/>
      <c r="X3" s="128"/>
      <c r="Y3" s="128"/>
      <c r="Z3" s="127">
        <v>1956.0</v>
      </c>
      <c r="AA3" s="120">
        <f t="shared" ref="AA3:AA76" si="1">sum(C3:L3,N3:Q3)-sum(S3:Z3)</f>
        <v>0</v>
      </c>
      <c r="AB3" s="121"/>
      <c r="AC3" s="111"/>
      <c r="AD3" s="111"/>
    </row>
    <row r="4">
      <c r="A4" s="130" t="s">
        <v>153</v>
      </c>
      <c r="B4" s="131" t="s">
        <v>74</v>
      </c>
      <c r="C4" s="132"/>
      <c r="D4" s="132"/>
      <c r="E4" s="132"/>
      <c r="F4" s="132"/>
      <c r="G4" s="132"/>
      <c r="H4" s="132"/>
      <c r="I4" s="132"/>
      <c r="J4" s="132"/>
      <c r="K4" s="132"/>
      <c r="L4" s="132"/>
      <c r="M4" s="133" t="s">
        <v>72</v>
      </c>
      <c r="N4" s="130">
        <v>5590.0</v>
      </c>
      <c r="O4" s="132"/>
      <c r="P4" s="132"/>
      <c r="Q4" s="132"/>
      <c r="R4" s="132"/>
      <c r="S4" s="132"/>
      <c r="T4" s="132"/>
      <c r="U4" s="130">
        <v>5590.0</v>
      </c>
      <c r="V4" s="134"/>
      <c r="W4" s="132"/>
      <c r="X4" s="132"/>
      <c r="Y4" s="132"/>
      <c r="Z4" s="134"/>
      <c r="AA4" s="120">
        <f t="shared" si="1"/>
        <v>0</v>
      </c>
      <c r="AB4" s="122"/>
      <c r="AC4" s="122"/>
      <c r="AD4" s="122"/>
    </row>
    <row r="5">
      <c r="A5" s="130" t="s">
        <v>154</v>
      </c>
      <c r="B5" s="131" t="s">
        <v>73</v>
      </c>
      <c r="C5" s="132"/>
      <c r="D5" s="132"/>
      <c r="E5" s="132"/>
      <c r="F5" s="132"/>
      <c r="G5" s="132"/>
      <c r="H5" s="132"/>
      <c r="I5" s="132"/>
      <c r="J5" s="132"/>
      <c r="K5" s="132"/>
      <c r="L5" s="132"/>
      <c r="M5" s="133" t="s">
        <v>72</v>
      </c>
      <c r="N5" s="130">
        <v>710.0</v>
      </c>
      <c r="O5" s="132"/>
      <c r="P5" s="132"/>
      <c r="Q5" s="132"/>
      <c r="R5" s="132"/>
      <c r="S5" s="132"/>
      <c r="T5" s="132"/>
      <c r="U5" s="130">
        <v>710.0</v>
      </c>
      <c r="V5" s="134"/>
      <c r="W5" s="132"/>
      <c r="X5" s="132"/>
      <c r="Y5" s="132"/>
      <c r="Z5" s="134"/>
      <c r="AA5" s="120">
        <f t="shared" si="1"/>
        <v>0</v>
      </c>
      <c r="AB5" s="111"/>
      <c r="AC5" s="111"/>
      <c r="AD5" s="111"/>
    </row>
    <row r="6">
      <c r="A6" s="130" t="s">
        <v>155</v>
      </c>
      <c r="B6" s="131" t="s">
        <v>73</v>
      </c>
      <c r="C6" s="132"/>
      <c r="D6" s="132"/>
      <c r="E6" s="132"/>
      <c r="F6" s="132"/>
      <c r="G6" s="132"/>
      <c r="H6" s="132"/>
      <c r="I6" s="132"/>
      <c r="J6" s="132"/>
      <c r="K6" s="132"/>
      <c r="L6" s="132"/>
      <c r="M6" s="133" t="s">
        <v>72</v>
      </c>
      <c r="N6" s="130">
        <v>324.0</v>
      </c>
      <c r="O6" s="132"/>
      <c r="P6" s="132"/>
      <c r="Q6" s="132"/>
      <c r="R6" s="132"/>
      <c r="S6" s="132"/>
      <c r="T6" s="132"/>
      <c r="U6" s="130">
        <v>324.0</v>
      </c>
      <c r="V6" s="134"/>
      <c r="W6" s="132"/>
      <c r="X6" s="132"/>
      <c r="Y6" s="132"/>
      <c r="Z6" s="134"/>
      <c r="AA6" s="120">
        <f t="shared" si="1"/>
        <v>0</v>
      </c>
      <c r="AB6" s="111"/>
      <c r="AC6" s="111"/>
      <c r="AD6" s="111"/>
    </row>
    <row r="7">
      <c r="A7" s="130" t="s">
        <v>156</v>
      </c>
      <c r="B7" s="131" t="s">
        <v>157</v>
      </c>
      <c r="C7" s="132"/>
      <c r="D7" s="132"/>
      <c r="E7" s="132"/>
      <c r="F7" s="132"/>
      <c r="G7" s="132"/>
      <c r="H7" s="132"/>
      <c r="I7" s="132"/>
      <c r="J7" s="132"/>
      <c r="K7" s="132"/>
      <c r="L7" s="132"/>
      <c r="M7" s="133" t="s">
        <v>72</v>
      </c>
      <c r="N7" s="130">
        <v>2390.0</v>
      </c>
      <c r="O7" s="132"/>
      <c r="P7" s="132"/>
      <c r="Q7" s="132"/>
      <c r="R7" s="132"/>
      <c r="S7" s="132"/>
      <c r="T7" s="132"/>
      <c r="U7" s="130">
        <v>2390.0</v>
      </c>
      <c r="V7" s="134"/>
      <c r="W7" s="132"/>
      <c r="X7" s="132"/>
      <c r="Y7" s="132"/>
      <c r="Z7" s="134"/>
      <c r="AA7" s="120">
        <f t="shared" si="1"/>
        <v>0</v>
      </c>
      <c r="AB7" s="122"/>
      <c r="AC7" s="122"/>
      <c r="AD7" s="122"/>
    </row>
    <row r="8">
      <c r="A8" s="130" t="s">
        <v>158</v>
      </c>
      <c r="B8" s="131" t="s">
        <v>74</v>
      </c>
      <c r="C8" s="132"/>
      <c r="D8" s="132"/>
      <c r="E8" s="132"/>
      <c r="F8" s="132"/>
      <c r="G8" s="132"/>
      <c r="H8" s="132"/>
      <c r="I8" s="132"/>
      <c r="J8" s="132"/>
      <c r="K8" s="132"/>
      <c r="L8" s="132"/>
      <c r="M8" s="133" t="s">
        <v>72</v>
      </c>
      <c r="N8" s="130">
        <v>3825.0</v>
      </c>
      <c r="O8" s="132"/>
      <c r="P8" s="132"/>
      <c r="Q8" s="132"/>
      <c r="R8" s="132"/>
      <c r="S8" s="132"/>
      <c r="T8" s="132"/>
      <c r="U8" s="130">
        <v>3825.0</v>
      </c>
      <c r="V8" s="134"/>
      <c r="W8" s="132"/>
      <c r="X8" s="132"/>
      <c r="Y8" s="132"/>
      <c r="Z8" s="134"/>
      <c r="AA8" s="120">
        <f t="shared" si="1"/>
        <v>0</v>
      </c>
      <c r="AB8" s="121"/>
      <c r="AC8" s="122"/>
      <c r="AD8" s="122"/>
    </row>
    <row r="9">
      <c r="A9" s="130" t="s">
        <v>159</v>
      </c>
      <c r="B9" s="131" t="s">
        <v>157</v>
      </c>
      <c r="C9" s="132"/>
      <c r="D9" s="132"/>
      <c r="E9" s="132"/>
      <c r="F9" s="132"/>
      <c r="G9" s="132"/>
      <c r="H9" s="132"/>
      <c r="I9" s="132"/>
      <c r="J9" s="132"/>
      <c r="K9" s="132"/>
      <c r="L9" s="132"/>
      <c r="M9" s="133" t="s">
        <v>72</v>
      </c>
      <c r="N9" s="130">
        <v>1709.0</v>
      </c>
      <c r="O9" s="132"/>
      <c r="P9" s="132"/>
      <c r="Q9" s="132"/>
      <c r="R9" s="132"/>
      <c r="S9" s="132"/>
      <c r="T9" s="132"/>
      <c r="U9" s="130">
        <v>1709.0</v>
      </c>
      <c r="V9" s="134"/>
      <c r="W9" s="132"/>
      <c r="X9" s="132"/>
      <c r="Y9" s="132"/>
      <c r="Z9" s="134"/>
      <c r="AA9" s="120">
        <f t="shared" si="1"/>
        <v>0</v>
      </c>
      <c r="AB9" s="121"/>
      <c r="AC9" s="122"/>
      <c r="AD9" s="122"/>
    </row>
    <row r="10">
      <c r="A10" s="137">
        <v>44538.0</v>
      </c>
      <c r="B10" s="131" t="s">
        <v>127</v>
      </c>
      <c r="C10" s="132"/>
      <c r="D10" s="132"/>
      <c r="E10" s="132"/>
      <c r="F10" s="132"/>
      <c r="G10" s="132"/>
      <c r="H10" s="132"/>
      <c r="I10" s="132"/>
      <c r="J10" s="132"/>
      <c r="K10" s="132"/>
      <c r="L10" s="132"/>
      <c r="M10" s="133" t="s">
        <v>72</v>
      </c>
      <c r="N10" s="130">
        <v>1800.0</v>
      </c>
      <c r="O10" s="132"/>
      <c r="P10" s="132"/>
      <c r="Q10" s="132"/>
      <c r="R10" s="132"/>
      <c r="S10" s="132"/>
      <c r="T10" s="132"/>
      <c r="U10" s="130">
        <v>1800.0</v>
      </c>
      <c r="V10" s="134"/>
      <c r="W10" s="132"/>
      <c r="X10" s="132"/>
      <c r="Y10" s="132"/>
      <c r="Z10" s="134"/>
      <c r="AA10" s="120">
        <f t="shared" si="1"/>
        <v>0</v>
      </c>
      <c r="AB10" s="122"/>
      <c r="AC10" s="122"/>
      <c r="AD10" s="122"/>
    </row>
    <row r="11">
      <c r="A11" s="137">
        <v>44508.0</v>
      </c>
      <c r="B11" s="131" t="s">
        <v>157</v>
      </c>
      <c r="C11" s="132"/>
      <c r="D11" s="132"/>
      <c r="E11" s="132"/>
      <c r="F11" s="132"/>
      <c r="G11" s="132"/>
      <c r="H11" s="132"/>
      <c r="I11" s="132"/>
      <c r="J11" s="132"/>
      <c r="K11" s="132"/>
      <c r="L11" s="132"/>
      <c r="M11" s="133" t="s">
        <v>72</v>
      </c>
      <c r="N11" s="130">
        <v>1815.0</v>
      </c>
      <c r="O11" s="132"/>
      <c r="P11" s="132"/>
      <c r="Q11" s="132"/>
      <c r="R11" s="132"/>
      <c r="S11" s="132"/>
      <c r="T11" s="132"/>
      <c r="U11" s="130">
        <v>1815.0</v>
      </c>
      <c r="V11" s="134"/>
      <c r="W11" s="132"/>
      <c r="X11" s="132"/>
      <c r="Y11" s="132"/>
      <c r="Z11" s="134"/>
      <c r="AA11" s="120">
        <f t="shared" si="1"/>
        <v>0</v>
      </c>
      <c r="AB11" s="122"/>
      <c r="AC11" s="122"/>
      <c r="AD11" s="122"/>
    </row>
    <row r="12">
      <c r="A12" s="137">
        <v>44477.0</v>
      </c>
      <c r="B12" s="131" t="s">
        <v>157</v>
      </c>
      <c r="C12" s="132"/>
      <c r="D12" s="132"/>
      <c r="E12" s="132"/>
      <c r="F12" s="132"/>
      <c r="G12" s="132"/>
      <c r="H12" s="132"/>
      <c r="I12" s="132"/>
      <c r="J12" s="132"/>
      <c r="K12" s="132"/>
      <c r="L12" s="132"/>
      <c r="M12" s="133" t="s">
        <v>72</v>
      </c>
      <c r="N12" s="130">
        <v>2035.0</v>
      </c>
      <c r="O12" s="132"/>
      <c r="P12" s="132"/>
      <c r="Q12" s="132"/>
      <c r="R12" s="132"/>
      <c r="S12" s="132"/>
      <c r="T12" s="132"/>
      <c r="U12" s="130">
        <v>2035.0</v>
      </c>
      <c r="V12" s="134"/>
      <c r="W12" s="132"/>
      <c r="X12" s="132"/>
      <c r="Y12" s="132"/>
      <c r="Z12" s="134"/>
      <c r="AA12" s="120">
        <f t="shared" si="1"/>
        <v>0</v>
      </c>
      <c r="AB12" s="122"/>
      <c r="AC12" s="122"/>
      <c r="AD12" s="122"/>
    </row>
    <row r="13">
      <c r="A13" s="137">
        <v>44416.0</v>
      </c>
      <c r="B13" s="131" t="s">
        <v>74</v>
      </c>
      <c r="C13" s="132"/>
      <c r="D13" s="132"/>
      <c r="E13" s="132"/>
      <c r="F13" s="132"/>
      <c r="G13" s="132"/>
      <c r="H13" s="132"/>
      <c r="I13" s="132"/>
      <c r="J13" s="132"/>
      <c r="K13" s="132"/>
      <c r="L13" s="132"/>
      <c r="M13" s="133" t="s">
        <v>72</v>
      </c>
      <c r="N13" s="130">
        <v>5649.0</v>
      </c>
      <c r="O13" s="132"/>
      <c r="P13" s="132"/>
      <c r="Q13" s="132"/>
      <c r="R13" s="132"/>
      <c r="S13" s="132"/>
      <c r="T13" s="132"/>
      <c r="U13" s="130">
        <v>5649.0</v>
      </c>
      <c r="V13" s="134"/>
      <c r="W13" s="132"/>
      <c r="X13" s="132"/>
      <c r="Y13" s="132"/>
      <c r="Z13" s="134"/>
      <c r="AA13" s="120">
        <f t="shared" si="1"/>
        <v>0</v>
      </c>
      <c r="AB13" s="122"/>
      <c r="AC13" s="122"/>
      <c r="AD13" s="122"/>
    </row>
    <row r="14">
      <c r="A14" s="137">
        <v>44416.0</v>
      </c>
      <c r="B14" s="131" t="s">
        <v>157</v>
      </c>
      <c r="C14" s="132"/>
      <c r="D14" s="132"/>
      <c r="E14" s="132"/>
      <c r="F14" s="132"/>
      <c r="G14" s="132"/>
      <c r="H14" s="132"/>
      <c r="I14" s="132"/>
      <c r="J14" s="132"/>
      <c r="K14" s="132"/>
      <c r="L14" s="132"/>
      <c r="M14" s="133" t="s">
        <v>72</v>
      </c>
      <c r="N14" s="130">
        <v>1672.0</v>
      </c>
      <c r="O14" s="132"/>
      <c r="P14" s="132"/>
      <c r="Q14" s="132"/>
      <c r="R14" s="132"/>
      <c r="S14" s="132"/>
      <c r="T14" s="132"/>
      <c r="U14" s="130">
        <v>1672.0</v>
      </c>
      <c r="V14" s="134"/>
      <c r="W14" s="132"/>
      <c r="X14" s="132"/>
      <c r="Y14" s="132"/>
      <c r="Z14" s="134"/>
      <c r="AA14" s="120">
        <f t="shared" si="1"/>
        <v>0</v>
      </c>
      <c r="AB14" s="122"/>
      <c r="AC14" s="122"/>
      <c r="AD14" s="122"/>
    </row>
    <row r="15">
      <c r="A15" s="137">
        <v>44355.0</v>
      </c>
      <c r="B15" s="131" t="s">
        <v>157</v>
      </c>
      <c r="C15" s="132"/>
      <c r="D15" s="132"/>
      <c r="E15" s="132"/>
      <c r="F15" s="132"/>
      <c r="G15" s="132"/>
      <c r="H15" s="132"/>
      <c r="I15" s="132"/>
      <c r="J15" s="132"/>
      <c r="K15" s="132"/>
      <c r="L15" s="132"/>
      <c r="M15" s="133" t="s">
        <v>72</v>
      </c>
      <c r="N15" s="130">
        <v>1430.0</v>
      </c>
      <c r="O15" s="132"/>
      <c r="P15" s="132"/>
      <c r="Q15" s="132"/>
      <c r="R15" s="132"/>
      <c r="S15" s="132"/>
      <c r="T15" s="132"/>
      <c r="U15" s="130">
        <v>1430.0</v>
      </c>
      <c r="V15" s="134"/>
      <c r="W15" s="132"/>
      <c r="X15" s="132"/>
      <c r="Y15" s="132"/>
      <c r="Z15" s="134"/>
      <c r="AA15" s="120">
        <f t="shared" si="1"/>
        <v>0</v>
      </c>
      <c r="AB15" s="122"/>
      <c r="AC15" s="122"/>
      <c r="AD15" s="122"/>
    </row>
    <row r="16">
      <c r="A16" s="137">
        <v>44294.0</v>
      </c>
      <c r="B16" s="131" t="s">
        <v>74</v>
      </c>
      <c r="C16" s="132"/>
      <c r="D16" s="132"/>
      <c r="E16" s="132"/>
      <c r="F16" s="132"/>
      <c r="G16" s="132"/>
      <c r="H16" s="132"/>
      <c r="I16" s="132"/>
      <c r="J16" s="132"/>
      <c r="K16" s="132"/>
      <c r="L16" s="132"/>
      <c r="M16" s="133" t="s">
        <v>72</v>
      </c>
      <c r="N16" s="130">
        <v>6940.0</v>
      </c>
      <c r="O16" s="132"/>
      <c r="P16" s="132"/>
      <c r="Q16" s="132"/>
      <c r="R16" s="132"/>
      <c r="S16" s="132"/>
      <c r="T16" s="132"/>
      <c r="U16" s="130">
        <v>6940.0</v>
      </c>
      <c r="V16" s="134"/>
      <c r="W16" s="132"/>
      <c r="X16" s="132"/>
      <c r="Y16" s="132"/>
      <c r="Z16" s="134"/>
      <c r="AA16" s="120">
        <f t="shared" si="1"/>
        <v>0</v>
      </c>
      <c r="AB16" s="121"/>
      <c r="AC16" s="122"/>
      <c r="AD16" s="122"/>
    </row>
    <row r="17">
      <c r="A17" s="137">
        <v>44263.0</v>
      </c>
      <c r="B17" s="131" t="s">
        <v>160</v>
      </c>
      <c r="C17" s="132"/>
      <c r="D17" s="132"/>
      <c r="E17" s="132"/>
      <c r="F17" s="132"/>
      <c r="G17" s="132"/>
      <c r="H17" s="132"/>
      <c r="I17" s="132"/>
      <c r="J17" s="132"/>
      <c r="K17" s="132"/>
      <c r="L17" s="132"/>
      <c r="M17" s="133" t="s">
        <v>72</v>
      </c>
      <c r="N17" s="130">
        <v>321.0</v>
      </c>
      <c r="O17" s="132"/>
      <c r="P17" s="132"/>
      <c r="Q17" s="132"/>
      <c r="R17" s="132"/>
      <c r="S17" s="132"/>
      <c r="T17" s="132"/>
      <c r="U17" s="130">
        <v>321.0</v>
      </c>
      <c r="V17" s="134"/>
      <c r="W17" s="132"/>
      <c r="X17" s="132"/>
      <c r="Y17" s="132"/>
      <c r="Z17" s="134"/>
      <c r="AA17" s="120">
        <f t="shared" si="1"/>
        <v>0</v>
      </c>
      <c r="AB17" s="122"/>
      <c r="AC17" s="122"/>
      <c r="AD17" s="122"/>
    </row>
    <row r="18">
      <c r="A18" s="137">
        <v>44263.0</v>
      </c>
      <c r="B18" s="131" t="s">
        <v>73</v>
      </c>
      <c r="C18" s="132"/>
      <c r="D18" s="132"/>
      <c r="E18" s="132"/>
      <c r="F18" s="132"/>
      <c r="G18" s="132"/>
      <c r="H18" s="132"/>
      <c r="I18" s="132"/>
      <c r="J18" s="132"/>
      <c r="K18" s="132"/>
      <c r="L18" s="132"/>
      <c r="M18" s="133" t="s">
        <v>72</v>
      </c>
      <c r="N18" s="130">
        <v>368.0</v>
      </c>
      <c r="O18" s="132"/>
      <c r="P18" s="132"/>
      <c r="Q18" s="134"/>
      <c r="R18" s="132"/>
      <c r="S18" s="132"/>
      <c r="T18" s="132"/>
      <c r="U18" s="130">
        <v>368.0</v>
      </c>
      <c r="V18" s="134"/>
      <c r="W18" s="132"/>
      <c r="X18" s="132"/>
      <c r="Y18" s="132"/>
      <c r="Z18" s="134"/>
      <c r="AA18" s="120">
        <f t="shared" si="1"/>
        <v>0</v>
      </c>
      <c r="AB18" s="111"/>
      <c r="AC18" s="111"/>
      <c r="AD18" s="111"/>
    </row>
    <row r="19">
      <c r="A19" s="137">
        <v>44263.0</v>
      </c>
      <c r="B19" s="131" t="s">
        <v>75</v>
      </c>
      <c r="C19" s="132"/>
      <c r="D19" s="132"/>
      <c r="E19" s="132"/>
      <c r="F19" s="132"/>
      <c r="G19" s="132"/>
      <c r="H19" s="132"/>
      <c r="I19" s="132"/>
      <c r="J19" s="132"/>
      <c r="K19" s="132"/>
      <c r="L19" s="132"/>
      <c r="M19" s="133" t="s">
        <v>72</v>
      </c>
      <c r="N19" s="130">
        <v>397.0</v>
      </c>
      <c r="O19" s="132"/>
      <c r="P19" s="132"/>
      <c r="Q19" s="134"/>
      <c r="R19" s="132"/>
      <c r="S19" s="132"/>
      <c r="T19" s="132"/>
      <c r="U19" s="130">
        <v>397.0</v>
      </c>
      <c r="V19" s="134"/>
      <c r="W19" s="132"/>
      <c r="X19" s="132"/>
      <c r="Y19" s="132"/>
      <c r="Z19" s="134"/>
      <c r="AA19" s="120">
        <f t="shared" si="1"/>
        <v>0</v>
      </c>
      <c r="AB19" s="111"/>
      <c r="AC19" s="111"/>
      <c r="AD19" s="111"/>
    </row>
    <row r="20">
      <c r="A20" s="137">
        <v>44235.0</v>
      </c>
      <c r="B20" s="131" t="s">
        <v>74</v>
      </c>
      <c r="C20" s="132"/>
      <c r="D20" s="132"/>
      <c r="E20" s="132"/>
      <c r="F20" s="132"/>
      <c r="G20" s="132"/>
      <c r="H20" s="132"/>
      <c r="I20" s="132"/>
      <c r="J20" s="132"/>
      <c r="K20" s="132"/>
      <c r="L20" s="132"/>
      <c r="M20" s="133" t="s">
        <v>72</v>
      </c>
      <c r="N20" s="130">
        <v>5383.0</v>
      </c>
      <c r="O20" s="132"/>
      <c r="P20" s="132"/>
      <c r="Q20" s="134"/>
      <c r="R20" s="132"/>
      <c r="S20" s="132"/>
      <c r="T20" s="132"/>
      <c r="U20" s="130">
        <v>5383.0</v>
      </c>
      <c r="V20" s="134"/>
      <c r="W20" s="132"/>
      <c r="X20" s="132"/>
      <c r="Y20" s="132"/>
      <c r="Z20" s="134"/>
      <c r="AA20" s="120">
        <f t="shared" si="1"/>
        <v>0</v>
      </c>
      <c r="AB20" s="111"/>
      <c r="AC20" s="111"/>
      <c r="AD20" s="111"/>
    </row>
    <row r="21">
      <c r="A21" s="137">
        <v>44235.0</v>
      </c>
      <c r="B21" s="131" t="s">
        <v>74</v>
      </c>
      <c r="C21" s="132"/>
      <c r="D21" s="132"/>
      <c r="E21" s="132"/>
      <c r="F21" s="132"/>
      <c r="G21" s="132"/>
      <c r="H21" s="132"/>
      <c r="I21" s="132"/>
      <c r="J21" s="132"/>
      <c r="K21" s="132"/>
      <c r="L21" s="132"/>
      <c r="M21" s="133" t="s">
        <v>72</v>
      </c>
      <c r="N21" s="130">
        <v>750.0</v>
      </c>
      <c r="O21" s="132"/>
      <c r="P21" s="132"/>
      <c r="Q21" s="134"/>
      <c r="R21" s="132"/>
      <c r="S21" s="132"/>
      <c r="T21" s="132"/>
      <c r="U21" s="130">
        <v>750.0</v>
      </c>
      <c r="V21" s="134"/>
      <c r="W21" s="132"/>
      <c r="X21" s="132"/>
      <c r="Y21" s="132"/>
      <c r="Z21" s="134"/>
      <c r="AA21" s="120">
        <f t="shared" si="1"/>
        <v>0</v>
      </c>
      <c r="AB21" s="111"/>
      <c r="AC21" s="111"/>
      <c r="AD21" s="111"/>
    </row>
    <row r="22">
      <c r="A22" s="130" t="s">
        <v>159</v>
      </c>
      <c r="B22" s="131" t="s">
        <v>77</v>
      </c>
      <c r="C22" s="132"/>
      <c r="D22" s="132"/>
      <c r="E22" s="132"/>
      <c r="F22" s="132"/>
      <c r="G22" s="132"/>
      <c r="H22" s="132"/>
      <c r="I22" s="132"/>
      <c r="J22" s="132"/>
      <c r="K22" s="132"/>
      <c r="L22" s="132"/>
      <c r="M22" s="133" t="s">
        <v>72</v>
      </c>
      <c r="N22" s="132"/>
      <c r="O22" s="132"/>
      <c r="P22" s="132"/>
      <c r="Q22" s="130">
        <v>250.0</v>
      </c>
      <c r="R22" s="132"/>
      <c r="S22" s="132"/>
      <c r="T22" s="132"/>
      <c r="U22" s="130">
        <v>250.0</v>
      </c>
      <c r="V22" s="134"/>
      <c r="W22" s="132"/>
      <c r="X22" s="132"/>
      <c r="Y22" s="132"/>
      <c r="Z22" s="134"/>
      <c r="AA22" s="120">
        <f t="shared" si="1"/>
        <v>0</v>
      </c>
      <c r="AB22" s="122"/>
      <c r="AC22" s="122"/>
      <c r="AD22" s="122"/>
    </row>
    <row r="23">
      <c r="A23" s="130" t="s">
        <v>161</v>
      </c>
      <c r="B23" s="131" t="s">
        <v>162</v>
      </c>
      <c r="C23" s="132"/>
      <c r="D23" s="132"/>
      <c r="E23" s="132"/>
      <c r="F23" s="132"/>
      <c r="G23" s="132"/>
      <c r="H23" s="132"/>
      <c r="I23" s="132"/>
      <c r="J23" s="132"/>
      <c r="K23" s="132"/>
      <c r="L23" s="132"/>
      <c r="M23" s="133" t="s">
        <v>79</v>
      </c>
      <c r="N23" s="132"/>
      <c r="O23" s="132"/>
      <c r="P23" s="130">
        <v>10800.0</v>
      </c>
      <c r="Q23" s="132"/>
      <c r="R23" s="132"/>
      <c r="S23" s="132"/>
      <c r="T23" s="132"/>
      <c r="U23" s="130">
        <v>10800.0</v>
      </c>
      <c r="V23" s="134"/>
      <c r="W23" s="132"/>
      <c r="X23" s="132"/>
      <c r="Y23" s="132"/>
      <c r="Z23" s="134"/>
      <c r="AA23" s="120">
        <f t="shared" si="1"/>
        <v>0</v>
      </c>
      <c r="AB23" s="122"/>
      <c r="AC23" s="122"/>
      <c r="AD23" s="122"/>
    </row>
    <row r="24">
      <c r="A24" s="130" t="s">
        <v>155</v>
      </c>
      <c r="B24" s="133" t="s">
        <v>163</v>
      </c>
      <c r="C24" s="132"/>
      <c r="D24" s="132"/>
      <c r="E24" s="132"/>
      <c r="F24" s="132"/>
      <c r="G24" s="132"/>
      <c r="H24" s="132"/>
      <c r="I24" s="132"/>
      <c r="J24" s="132"/>
      <c r="K24" s="132"/>
      <c r="L24" s="132"/>
      <c r="M24" s="133" t="s">
        <v>72</v>
      </c>
      <c r="N24" s="132"/>
      <c r="O24" s="132"/>
      <c r="P24" s="130">
        <v>1320.0</v>
      </c>
      <c r="Q24" s="134"/>
      <c r="R24" s="132"/>
      <c r="S24" s="132"/>
      <c r="T24" s="132"/>
      <c r="U24" s="130">
        <v>1320.0</v>
      </c>
      <c r="V24" s="134"/>
      <c r="W24" s="132"/>
      <c r="X24" s="132"/>
      <c r="Y24" s="132"/>
      <c r="Z24" s="134"/>
      <c r="AA24" s="120">
        <f t="shared" si="1"/>
        <v>0</v>
      </c>
      <c r="AB24" s="122"/>
      <c r="AC24" s="122"/>
      <c r="AD24" s="122"/>
    </row>
    <row r="25">
      <c r="A25" s="130" t="s">
        <v>164</v>
      </c>
      <c r="B25" s="131" t="s">
        <v>131</v>
      </c>
      <c r="C25" s="132"/>
      <c r="D25" s="132"/>
      <c r="E25" s="132"/>
      <c r="F25" s="132"/>
      <c r="G25" s="132"/>
      <c r="H25" s="132"/>
      <c r="I25" s="132"/>
      <c r="J25" s="132"/>
      <c r="K25" s="132"/>
      <c r="L25" s="132"/>
      <c r="M25" s="133" t="s">
        <v>72</v>
      </c>
      <c r="N25" s="132"/>
      <c r="O25" s="132"/>
      <c r="P25" s="132"/>
      <c r="Q25" s="130">
        <v>6223.0</v>
      </c>
      <c r="R25" s="132"/>
      <c r="S25" s="132"/>
      <c r="T25" s="132"/>
      <c r="U25" s="130">
        <v>6223.0</v>
      </c>
      <c r="V25" s="134"/>
      <c r="W25" s="132"/>
      <c r="X25" s="132"/>
      <c r="Y25" s="132"/>
      <c r="Z25" s="134"/>
      <c r="AA25" s="120">
        <f t="shared" si="1"/>
        <v>0</v>
      </c>
      <c r="AB25" s="122"/>
      <c r="AC25" s="122"/>
      <c r="AD25" s="122"/>
    </row>
    <row r="26">
      <c r="A26" s="130" t="s">
        <v>159</v>
      </c>
      <c r="B26" s="131" t="s">
        <v>84</v>
      </c>
      <c r="C26" s="132"/>
      <c r="D26" s="132"/>
      <c r="E26" s="132"/>
      <c r="F26" s="132"/>
      <c r="G26" s="132"/>
      <c r="H26" s="132"/>
      <c r="I26" s="132"/>
      <c r="J26" s="132"/>
      <c r="K26" s="132"/>
      <c r="L26" s="132"/>
      <c r="M26" s="133" t="s">
        <v>81</v>
      </c>
      <c r="N26" s="132"/>
      <c r="O26" s="132"/>
      <c r="P26" s="132"/>
      <c r="Q26" s="130">
        <v>224.0</v>
      </c>
      <c r="R26" s="132"/>
      <c r="S26" s="132"/>
      <c r="T26" s="132"/>
      <c r="U26" s="130">
        <v>224.0</v>
      </c>
      <c r="V26" s="134"/>
      <c r="W26" s="132"/>
      <c r="X26" s="132"/>
      <c r="Y26" s="132"/>
      <c r="Z26" s="134"/>
      <c r="AA26" s="120">
        <f t="shared" si="1"/>
        <v>0</v>
      </c>
      <c r="AB26" s="122"/>
      <c r="AC26" s="122"/>
      <c r="AD26" s="122"/>
    </row>
    <row r="27">
      <c r="A27" s="130" t="s">
        <v>165</v>
      </c>
      <c r="B27" s="131" t="s">
        <v>166</v>
      </c>
      <c r="C27" s="132"/>
      <c r="D27" s="132"/>
      <c r="E27" s="132"/>
      <c r="F27" s="132"/>
      <c r="G27" s="132"/>
      <c r="H27" s="132"/>
      <c r="I27" s="132"/>
      <c r="J27" s="132"/>
      <c r="K27" s="132"/>
      <c r="L27" s="132"/>
      <c r="M27" s="133" t="s">
        <v>72</v>
      </c>
      <c r="N27" s="130">
        <v>360.0</v>
      </c>
      <c r="O27" s="132"/>
      <c r="P27" s="132"/>
      <c r="Q27" s="132"/>
      <c r="R27" s="132"/>
      <c r="S27" s="132"/>
      <c r="T27" s="132"/>
      <c r="U27" s="130">
        <v>360.0</v>
      </c>
      <c r="V27" s="134"/>
      <c r="W27" s="132"/>
      <c r="X27" s="132"/>
      <c r="Y27" s="132"/>
      <c r="Z27" s="134"/>
      <c r="AA27" s="120">
        <f t="shared" si="1"/>
        <v>0</v>
      </c>
      <c r="AB27" s="121"/>
      <c r="AC27" s="122"/>
      <c r="AD27" s="122"/>
    </row>
    <row r="28">
      <c r="A28" s="130" t="s">
        <v>167</v>
      </c>
      <c r="B28" s="131" t="s">
        <v>168</v>
      </c>
      <c r="C28" s="132"/>
      <c r="D28" s="132"/>
      <c r="E28" s="132"/>
      <c r="F28" s="132"/>
      <c r="G28" s="132"/>
      <c r="H28" s="132"/>
      <c r="I28" s="132"/>
      <c r="J28" s="132"/>
      <c r="K28" s="132"/>
      <c r="L28" s="132"/>
      <c r="M28" s="133" t="s">
        <v>72</v>
      </c>
      <c r="N28" s="134"/>
      <c r="O28" s="132"/>
      <c r="P28" s="132"/>
      <c r="Q28" s="130">
        <v>776.0</v>
      </c>
      <c r="R28" s="132"/>
      <c r="S28" s="132"/>
      <c r="T28" s="132"/>
      <c r="U28" s="130">
        <v>776.0</v>
      </c>
      <c r="V28" s="134"/>
      <c r="W28" s="132"/>
      <c r="X28" s="132"/>
      <c r="Y28" s="132"/>
      <c r="Z28" s="134"/>
      <c r="AA28" s="120">
        <f t="shared" si="1"/>
        <v>0</v>
      </c>
      <c r="AB28" s="121"/>
      <c r="AC28" s="111"/>
      <c r="AD28" s="111"/>
    </row>
    <row r="29">
      <c r="A29" s="130" t="s">
        <v>165</v>
      </c>
      <c r="B29" s="131" t="s">
        <v>169</v>
      </c>
      <c r="C29" s="132"/>
      <c r="D29" s="132"/>
      <c r="E29" s="132"/>
      <c r="F29" s="132"/>
      <c r="G29" s="132"/>
      <c r="H29" s="132"/>
      <c r="I29" s="132"/>
      <c r="J29" s="132"/>
      <c r="K29" s="132"/>
      <c r="L29" s="132"/>
      <c r="M29" s="133" t="s">
        <v>72</v>
      </c>
      <c r="N29" s="130">
        <v>780.0</v>
      </c>
      <c r="O29" s="132"/>
      <c r="P29" s="132"/>
      <c r="Q29" s="132"/>
      <c r="R29" s="132"/>
      <c r="S29" s="132"/>
      <c r="T29" s="132"/>
      <c r="U29" s="130">
        <v>780.0</v>
      </c>
      <c r="V29" s="134"/>
      <c r="W29" s="132"/>
      <c r="X29" s="132"/>
      <c r="Y29" s="132"/>
      <c r="Z29" s="134"/>
      <c r="AA29" s="120">
        <f t="shared" si="1"/>
        <v>0</v>
      </c>
      <c r="AB29" s="122"/>
      <c r="AC29" s="122"/>
      <c r="AD29" s="122"/>
    </row>
    <row r="30">
      <c r="A30" s="137">
        <v>44385.0</v>
      </c>
      <c r="B30" s="131" t="s">
        <v>170</v>
      </c>
      <c r="C30" s="132"/>
      <c r="D30" s="132"/>
      <c r="E30" s="132"/>
      <c r="F30" s="132"/>
      <c r="G30" s="132"/>
      <c r="H30" s="132"/>
      <c r="I30" s="132"/>
      <c r="J30" s="132"/>
      <c r="K30" s="132"/>
      <c r="L30" s="132"/>
      <c r="M30" s="133" t="s">
        <v>72</v>
      </c>
      <c r="N30" s="130">
        <v>2493.0</v>
      </c>
      <c r="O30" s="132"/>
      <c r="P30" s="132"/>
      <c r="Q30" s="132"/>
      <c r="R30" s="132"/>
      <c r="S30" s="132"/>
      <c r="T30" s="132"/>
      <c r="U30" s="130">
        <v>2493.0</v>
      </c>
      <c r="V30" s="134"/>
      <c r="W30" s="132"/>
      <c r="X30" s="132"/>
      <c r="Y30" s="132"/>
      <c r="Z30" s="134"/>
      <c r="AA30" s="120">
        <f t="shared" si="1"/>
        <v>0</v>
      </c>
      <c r="AB30" s="122"/>
      <c r="AC30" s="122"/>
      <c r="AD30" s="122"/>
    </row>
    <row r="31">
      <c r="A31" s="130" t="s">
        <v>171</v>
      </c>
      <c r="B31" s="131" t="s">
        <v>172</v>
      </c>
      <c r="C31" s="132"/>
      <c r="D31" s="132"/>
      <c r="E31" s="132"/>
      <c r="F31" s="132"/>
      <c r="G31" s="132"/>
      <c r="H31" s="132"/>
      <c r="I31" s="132"/>
      <c r="J31" s="134"/>
      <c r="K31" s="134"/>
      <c r="L31" s="132"/>
      <c r="M31" s="133" t="s">
        <v>72</v>
      </c>
      <c r="N31" s="130">
        <v>4581.0</v>
      </c>
      <c r="O31" s="132"/>
      <c r="P31" s="132"/>
      <c r="Q31" s="132"/>
      <c r="R31" s="132"/>
      <c r="S31" s="132"/>
      <c r="T31" s="132"/>
      <c r="U31" s="130">
        <v>4581.0</v>
      </c>
      <c r="V31" s="134"/>
      <c r="W31" s="132"/>
      <c r="X31" s="132"/>
      <c r="Y31" s="132"/>
      <c r="Z31" s="134"/>
      <c r="AA31" s="120">
        <f t="shared" si="1"/>
        <v>0</v>
      </c>
      <c r="AB31" s="122"/>
      <c r="AC31" s="122"/>
      <c r="AD31" s="122"/>
    </row>
    <row r="32">
      <c r="A32" s="138">
        <v>44438.0</v>
      </c>
      <c r="B32" s="139" t="s">
        <v>93</v>
      </c>
      <c r="C32" s="140"/>
      <c r="D32" s="140"/>
      <c r="E32" s="140"/>
      <c r="F32" s="140"/>
      <c r="G32" s="140"/>
      <c r="H32" s="140"/>
      <c r="I32" s="140"/>
      <c r="J32" s="139">
        <v>-160.0</v>
      </c>
      <c r="K32" s="139">
        <v>160.0</v>
      </c>
      <c r="L32" s="140"/>
      <c r="M32" s="141"/>
      <c r="N32" s="140"/>
      <c r="O32" s="140"/>
      <c r="P32" s="140"/>
      <c r="Q32" s="140"/>
      <c r="R32" s="140"/>
      <c r="S32" s="140"/>
      <c r="T32" s="140"/>
      <c r="U32" s="140"/>
      <c r="V32" s="141"/>
      <c r="W32" s="140"/>
      <c r="X32" s="140"/>
      <c r="Y32" s="140"/>
      <c r="Z32" s="141"/>
      <c r="AA32" s="120">
        <f t="shared" si="1"/>
        <v>0</v>
      </c>
      <c r="AB32" s="122"/>
      <c r="AC32" s="122"/>
      <c r="AD32" s="122"/>
    </row>
    <row r="33">
      <c r="A33" s="138">
        <v>44431.0</v>
      </c>
      <c r="B33" s="139" t="s">
        <v>93</v>
      </c>
      <c r="C33" s="140"/>
      <c r="D33" s="140"/>
      <c r="E33" s="140"/>
      <c r="F33" s="140"/>
      <c r="G33" s="140"/>
      <c r="H33" s="140"/>
      <c r="I33" s="140"/>
      <c r="J33" s="139">
        <v>-160.0</v>
      </c>
      <c r="K33" s="139">
        <v>160.0</v>
      </c>
      <c r="L33" s="140"/>
      <c r="M33" s="141"/>
      <c r="N33" s="140"/>
      <c r="O33" s="140"/>
      <c r="P33" s="140"/>
      <c r="Q33" s="140"/>
      <c r="R33" s="140"/>
      <c r="S33" s="140"/>
      <c r="T33" s="140"/>
      <c r="U33" s="140"/>
      <c r="V33" s="141"/>
      <c r="W33" s="140"/>
      <c r="X33" s="140"/>
      <c r="Y33" s="140"/>
      <c r="Z33" s="141"/>
      <c r="AA33" s="120">
        <f t="shared" si="1"/>
        <v>0</v>
      </c>
      <c r="AB33" s="121"/>
      <c r="AC33" s="122"/>
      <c r="AD33" s="122"/>
    </row>
    <row r="34">
      <c r="A34" s="138">
        <v>44424.0</v>
      </c>
      <c r="B34" s="139" t="s">
        <v>93</v>
      </c>
      <c r="C34" s="140"/>
      <c r="D34" s="140"/>
      <c r="E34" s="140"/>
      <c r="F34" s="140"/>
      <c r="G34" s="140"/>
      <c r="H34" s="140"/>
      <c r="I34" s="140"/>
      <c r="J34" s="139">
        <v>-160.0</v>
      </c>
      <c r="K34" s="139">
        <v>160.0</v>
      </c>
      <c r="L34" s="140"/>
      <c r="M34" s="141"/>
      <c r="N34" s="140"/>
      <c r="O34" s="140"/>
      <c r="P34" s="140"/>
      <c r="Q34" s="140"/>
      <c r="R34" s="140"/>
      <c r="S34" s="140"/>
      <c r="T34" s="140"/>
      <c r="U34" s="140"/>
      <c r="V34" s="141"/>
      <c r="W34" s="140"/>
      <c r="X34" s="140"/>
      <c r="Y34" s="140"/>
      <c r="Z34" s="141"/>
      <c r="AA34" s="120">
        <f t="shared" si="1"/>
        <v>0</v>
      </c>
      <c r="AB34" s="121"/>
      <c r="AC34" s="111"/>
      <c r="AD34" s="111"/>
    </row>
    <row r="35">
      <c r="A35" s="138">
        <v>44417.0</v>
      </c>
      <c r="B35" s="139" t="s">
        <v>93</v>
      </c>
      <c r="C35" s="140"/>
      <c r="D35" s="140"/>
      <c r="E35" s="140"/>
      <c r="F35" s="140"/>
      <c r="G35" s="140"/>
      <c r="H35" s="140"/>
      <c r="I35" s="140"/>
      <c r="J35" s="139">
        <v>-160.0</v>
      </c>
      <c r="K35" s="139">
        <v>160.0</v>
      </c>
      <c r="L35" s="140"/>
      <c r="M35" s="141"/>
      <c r="N35" s="140"/>
      <c r="O35" s="140"/>
      <c r="P35" s="140"/>
      <c r="Q35" s="140"/>
      <c r="R35" s="140"/>
      <c r="S35" s="140"/>
      <c r="T35" s="140"/>
      <c r="U35" s="140"/>
      <c r="V35" s="141"/>
      <c r="W35" s="140"/>
      <c r="X35" s="140"/>
      <c r="Y35" s="140"/>
      <c r="Z35" s="141"/>
      <c r="AA35" s="120">
        <f t="shared" si="1"/>
        <v>0</v>
      </c>
      <c r="AB35" s="111"/>
      <c r="AC35" s="111"/>
      <c r="AD35" s="111"/>
    </row>
    <row r="36">
      <c r="A36" s="138">
        <v>44410.0</v>
      </c>
      <c r="B36" s="139" t="s">
        <v>93</v>
      </c>
      <c r="C36" s="140"/>
      <c r="D36" s="140"/>
      <c r="E36" s="140"/>
      <c r="F36" s="140"/>
      <c r="G36" s="140"/>
      <c r="H36" s="140"/>
      <c r="I36" s="140"/>
      <c r="J36" s="139">
        <v>-160.0</v>
      </c>
      <c r="K36" s="139">
        <v>160.0</v>
      </c>
      <c r="L36" s="140"/>
      <c r="M36" s="141"/>
      <c r="N36" s="140"/>
      <c r="O36" s="140"/>
      <c r="P36" s="140"/>
      <c r="Q36" s="140"/>
      <c r="R36" s="140"/>
      <c r="S36" s="140"/>
      <c r="T36" s="140"/>
      <c r="U36" s="140"/>
      <c r="V36" s="141"/>
      <c r="W36" s="140"/>
      <c r="X36" s="140"/>
      <c r="Y36" s="141"/>
      <c r="Z36" s="141"/>
      <c r="AA36" s="120">
        <f t="shared" si="1"/>
        <v>0</v>
      </c>
      <c r="AB36" s="122"/>
      <c r="AC36" s="122"/>
      <c r="AD36" s="122"/>
    </row>
    <row r="37">
      <c r="A37" s="138">
        <v>44439.0</v>
      </c>
      <c r="B37" s="139" t="s">
        <v>94</v>
      </c>
      <c r="C37" s="140"/>
      <c r="D37" s="140"/>
      <c r="E37" s="140"/>
      <c r="F37" s="140"/>
      <c r="G37" s="140"/>
      <c r="H37" s="140"/>
      <c r="I37" s="140"/>
      <c r="J37" s="139">
        <v>182.88</v>
      </c>
      <c r="K37" s="140"/>
      <c r="L37" s="140"/>
      <c r="M37" s="141"/>
      <c r="N37" s="140"/>
      <c r="O37" s="140"/>
      <c r="P37" s="140"/>
      <c r="Q37" s="140"/>
      <c r="R37" s="140"/>
      <c r="S37" s="140"/>
      <c r="T37" s="140"/>
      <c r="U37" s="140"/>
      <c r="V37" s="141"/>
      <c r="W37" s="140"/>
      <c r="X37" s="140"/>
      <c r="Y37" s="140"/>
      <c r="Z37" s="139">
        <v>182.88</v>
      </c>
      <c r="AA37" s="120">
        <f t="shared" si="1"/>
        <v>0</v>
      </c>
      <c r="AB37" s="123"/>
      <c r="AC37" s="122"/>
      <c r="AD37" s="122"/>
    </row>
    <row r="38">
      <c r="A38" s="138">
        <v>44418.0</v>
      </c>
      <c r="B38" s="139" t="s">
        <v>173</v>
      </c>
      <c r="C38" s="140"/>
      <c r="D38" s="140"/>
      <c r="E38" s="140"/>
      <c r="F38" s="140"/>
      <c r="G38" s="140"/>
      <c r="H38" s="140"/>
      <c r="I38" s="140"/>
      <c r="J38" s="139">
        <v>-301.76</v>
      </c>
      <c r="K38" s="140"/>
      <c r="L38" s="140"/>
      <c r="M38" s="141"/>
      <c r="N38" s="141"/>
      <c r="O38" s="140"/>
      <c r="P38" s="140"/>
      <c r="Q38" s="140"/>
      <c r="R38" s="140"/>
      <c r="S38" s="140"/>
      <c r="T38" s="139">
        <v>-301.76</v>
      </c>
      <c r="U38" s="140"/>
      <c r="V38" s="141"/>
      <c r="W38" s="140"/>
      <c r="X38" s="140"/>
      <c r="Y38" s="140"/>
      <c r="Z38" s="141"/>
      <c r="AA38" s="120">
        <f t="shared" si="1"/>
        <v>0</v>
      </c>
      <c r="AB38" s="122"/>
      <c r="AC38" s="122"/>
      <c r="AD38" s="122"/>
    </row>
    <row r="39">
      <c r="A39" s="138">
        <v>44434.0</v>
      </c>
      <c r="B39" s="139" t="s">
        <v>174</v>
      </c>
      <c r="C39" s="140"/>
      <c r="D39" s="140"/>
      <c r="E39" s="140"/>
      <c r="F39" s="140"/>
      <c r="G39" s="140"/>
      <c r="H39" s="140"/>
      <c r="I39" s="140"/>
      <c r="J39" s="140"/>
      <c r="K39" s="140"/>
      <c r="L39" s="140"/>
      <c r="M39" s="139" t="s">
        <v>72</v>
      </c>
      <c r="N39" s="139">
        <v>1794.4</v>
      </c>
      <c r="O39" s="140"/>
      <c r="P39" s="140"/>
      <c r="Q39" s="140"/>
      <c r="R39" s="140"/>
      <c r="S39" s="140"/>
      <c r="T39" s="139">
        <v>1794.4</v>
      </c>
      <c r="U39" s="140"/>
      <c r="V39" s="141"/>
      <c r="W39" s="140"/>
      <c r="X39" s="140"/>
      <c r="Y39" s="140"/>
      <c r="Z39" s="141"/>
      <c r="AA39" s="120">
        <f t="shared" si="1"/>
        <v>0</v>
      </c>
      <c r="AB39" s="121"/>
      <c r="AC39" s="122"/>
      <c r="AD39" s="122"/>
    </row>
    <row r="40">
      <c r="A40" s="142">
        <v>24.0</v>
      </c>
      <c r="B40" s="139" t="s">
        <v>175</v>
      </c>
      <c r="C40" s="140"/>
      <c r="D40" s="139">
        <v>-2039.0</v>
      </c>
      <c r="E40" s="140"/>
      <c r="F40" s="140"/>
      <c r="G40" s="140"/>
      <c r="H40" s="140"/>
      <c r="I40" s="140"/>
      <c r="J40" s="141"/>
      <c r="K40" s="140"/>
      <c r="L40" s="140"/>
      <c r="M40" s="139" t="s">
        <v>72</v>
      </c>
      <c r="N40" s="139">
        <v>2039.0</v>
      </c>
      <c r="O40" s="140"/>
      <c r="P40" s="140"/>
      <c r="Q40" s="140"/>
      <c r="R40" s="140"/>
      <c r="S40" s="140"/>
      <c r="T40" s="141"/>
      <c r="U40" s="140"/>
      <c r="V40" s="141"/>
      <c r="W40" s="140"/>
      <c r="X40" s="140"/>
      <c r="Y40" s="140"/>
      <c r="Z40" s="141"/>
      <c r="AA40" s="120">
        <f t="shared" si="1"/>
        <v>0</v>
      </c>
      <c r="AB40" s="121"/>
      <c r="AC40" s="122"/>
      <c r="AD40" s="122"/>
    </row>
    <row r="41">
      <c r="A41" s="142">
        <v>24.0</v>
      </c>
      <c r="B41" s="139" t="s">
        <v>175</v>
      </c>
      <c r="C41" s="140"/>
      <c r="D41" s="139">
        <v>-2172.0</v>
      </c>
      <c r="E41" s="140"/>
      <c r="F41" s="140"/>
      <c r="G41" s="140"/>
      <c r="H41" s="140"/>
      <c r="I41" s="140"/>
      <c r="J41" s="140"/>
      <c r="K41" s="140"/>
      <c r="L41" s="140"/>
      <c r="M41" s="139" t="s">
        <v>72</v>
      </c>
      <c r="N41" s="139">
        <v>2172.0</v>
      </c>
      <c r="O41" s="140"/>
      <c r="P41" s="140"/>
      <c r="Q41" s="140"/>
      <c r="R41" s="140"/>
      <c r="S41" s="140"/>
      <c r="T41" s="140"/>
      <c r="U41" s="140"/>
      <c r="V41" s="141"/>
      <c r="W41" s="140"/>
      <c r="X41" s="140"/>
      <c r="Y41" s="140"/>
      <c r="Z41" s="141"/>
      <c r="AA41" s="120">
        <f t="shared" si="1"/>
        <v>0</v>
      </c>
      <c r="AB41" s="122"/>
      <c r="AC41" s="122"/>
      <c r="AD41" s="122"/>
    </row>
    <row r="42">
      <c r="A42" s="142">
        <v>19.0</v>
      </c>
      <c r="B42" s="139" t="s">
        <v>98</v>
      </c>
      <c r="C42" s="140"/>
      <c r="D42" s="139">
        <v>-208.0</v>
      </c>
      <c r="E42" s="140"/>
      <c r="F42" s="140"/>
      <c r="G42" s="140"/>
      <c r="H42" s="140"/>
      <c r="I42" s="140"/>
      <c r="J42" s="140"/>
      <c r="K42" s="140"/>
      <c r="L42" s="140"/>
      <c r="M42" s="139" t="s">
        <v>72</v>
      </c>
      <c r="N42" s="139">
        <v>208.0</v>
      </c>
      <c r="O42" s="140"/>
      <c r="P42" s="140"/>
      <c r="Q42" s="140"/>
      <c r="R42" s="140"/>
      <c r="S42" s="140"/>
      <c r="T42" s="140"/>
      <c r="U42" s="140"/>
      <c r="V42" s="141"/>
      <c r="W42" s="140"/>
      <c r="X42" s="140"/>
      <c r="Y42" s="140"/>
      <c r="Z42" s="141"/>
      <c r="AA42" s="120">
        <f t="shared" si="1"/>
        <v>0</v>
      </c>
      <c r="AB42" s="121"/>
      <c r="AC42" s="111"/>
      <c r="AD42" s="111"/>
    </row>
    <row r="43">
      <c r="A43" s="142">
        <v>21.0</v>
      </c>
      <c r="B43" s="139" t="s">
        <v>98</v>
      </c>
      <c r="C43" s="140"/>
      <c r="D43" s="139">
        <v>-324.0</v>
      </c>
      <c r="E43" s="140"/>
      <c r="F43" s="140"/>
      <c r="G43" s="140"/>
      <c r="H43" s="140"/>
      <c r="I43" s="140"/>
      <c r="J43" s="140"/>
      <c r="K43" s="140"/>
      <c r="L43" s="140"/>
      <c r="M43" s="139" t="s">
        <v>72</v>
      </c>
      <c r="N43" s="139">
        <v>324.0</v>
      </c>
      <c r="O43" s="140"/>
      <c r="P43" s="140"/>
      <c r="Q43" s="140"/>
      <c r="R43" s="140"/>
      <c r="S43" s="140"/>
      <c r="T43" s="140"/>
      <c r="U43" s="140"/>
      <c r="V43" s="141"/>
      <c r="W43" s="140"/>
      <c r="X43" s="140"/>
      <c r="Y43" s="140"/>
      <c r="Z43" s="141"/>
      <c r="AA43" s="120">
        <f t="shared" si="1"/>
        <v>0</v>
      </c>
      <c r="AB43" s="121"/>
      <c r="AC43" s="111"/>
      <c r="AD43" s="111"/>
    </row>
    <row r="44">
      <c r="A44" s="142">
        <v>16.0</v>
      </c>
      <c r="B44" s="139" t="s">
        <v>98</v>
      </c>
      <c r="C44" s="140"/>
      <c r="D44" s="139">
        <v>-1837.0</v>
      </c>
      <c r="E44" s="140"/>
      <c r="F44" s="140"/>
      <c r="G44" s="140"/>
      <c r="H44" s="140"/>
      <c r="I44" s="140"/>
      <c r="J44" s="140"/>
      <c r="K44" s="140"/>
      <c r="L44" s="140"/>
      <c r="M44" s="139" t="s">
        <v>72</v>
      </c>
      <c r="N44" s="139">
        <v>1837.0</v>
      </c>
      <c r="O44" s="140"/>
      <c r="P44" s="140"/>
      <c r="Q44" s="140"/>
      <c r="R44" s="140"/>
      <c r="S44" s="140"/>
      <c r="T44" s="140"/>
      <c r="U44" s="140"/>
      <c r="V44" s="141"/>
      <c r="W44" s="140"/>
      <c r="X44" s="140"/>
      <c r="Y44" s="140"/>
      <c r="Z44" s="141"/>
      <c r="AA44" s="120">
        <f t="shared" si="1"/>
        <v>0</v>
      </c>
      <c r="AB44" s="121"/>
      <c r="AC44" s="122"/>
      <c r="AD44" s="122"/>
    </row>
    <row r="45">
      <c r="A45" s="142">
        <v>24.0</v>
      </c>
      <c r="B45" s="139" t="s">
        <v>98</v>
      </c>
      <c r="C45" s="140"/>
      <c r="D45" s="139">
        <v>-346.0</v>
      </c>
      <c r="E45" s="140"/>
      <c r="F45" s="140"/>
      <c r="G45" s="140"/>
      <c r="H45" s="140"/>
      <c r="I45" s="140"/>
      <c r="J45" s="140"/>
      <c r="K45" s="140"/>
      <c r="L45" s="140"/>
      <c r="M45" s="139" t="s">
        <v>72</v>
      </c>
      <c r="N45" s="139">
        <v>346.0</v>
      </c>
      <c r="O45" s="140"/>
      <c r="P45" s="140"/>
      <c r="Q45" s="140"/>
      <c r="R45" s="140"/>
      <c r="S45" s="140"/>
      <c r="T45" s="140"/>
      <c r="U45" s="140"/>
      <c r="V45" s="141"/>
      <c r="W45" s="140"/>
      <c r="X45" s="140"/>
      <c r="Y45" s="140"/>
      <c r="Z45" s="141"/>
      <c r="AA45" s="120">
        <f t="shared" si="1"/>
        <v>0</v>
      </c>
      <c r="AB45" s="111"/>
      <c r="AC45" s="111"/>
      <c r="AD45" s="111"/>
    </row>
    <row r="46">
      <c r="A46" s="142">
        <v>24.0</v>
      </c>
      <c r="B46" s="139" t="s">
        <v>98</v>
      </c>
      <c r="C46" s="140"/>
      <c r="D46" s="139">
        <v>-270.0</v>
      </c>
      <c r="E46" s="140"/>
      <c r="F46" s="140"/>
      <c r="G46" s="140"/>
      <c r="H46" s="140"/>
      <c r="I46" s="140"/>
      <c r="J46" s="140"/>
      <c r="K46" s="140"/>
      <c r="L46" s="140"/>
      <c r="M46" s="139" t="s">
        <v>72</v>
      </c>
      <c r="N46" s="139">
        <v>270.0</v>
      </c>
      <c r="O46" s="140"/>
      <c r="P46" s="140"/>
      <c r="Q46" s="140"/>
      <c r="R46" s="140"/>
      <c r="S46" s="140"/>
      <c r="T46" s="140"/>
      <c r="U46" s="140"/>
      <c r="V46" s="141"/>
      <c r="W46" s="140"/>
      <c r="X46" s="140"/>
      <c r="Y46" s="140"/>
      <c r="Z46" s="141"/>
      <c r="AA46" s="120">
        <f t="shared" si="1"/>
        <v>0</v>
      </c>
      <c r="AB46" s="121"/>
      <c r="AC46" s="122"/>
      <c r="AD46" s="122"/>
    </row>
    <row r="47">
      <c r="A47" s="142">
        <v>24.0</v>
      </c>
      <c r="B47" s="139" t="s">
        <v>98</v>
      </c>
      <c r="C47" s="140"/>
      <c r="D47" s="139">
        <v>-3649.0</v>
      </c>
      <c r="E47" s="140"/>
      <c r="F47" s="140"/>
      <c r="G47" s="140"/>
      <c r="H47" s="140"/>
      <c r="I47" s="140"/>
      <c r="J47" s="140"/>
      <c r="K47" s="140"/>
      <c r="L47" s="140"/>
      <c r="M47" s="139" t="s">
        <v>72</v>
      </c>
      <c r="N47" s="139">
        <v>3649.0</v>
      </c>
      <c r="O47" s="140"/>
      <c r="P47" s="140"/>
      <c r="Q47" s="141"/>
      <c r="R47" s="140"/>
      <c r="S47" s="140"/>
      <c r="T47" s="140"/>
      <c r="U47" s="140"/>
      <c r="V47" s="141"/>
      <c r="W47" s="140"/>
      <c r="X47" s="140"/>
      <c r="Y47" s="140"/>
      <c r="Z47" s="141"/>
      <c r="AA47" s="120">
        <f t="shared" si="1"/>
        <v>0</v>
      </c>
      <c r="AB47" s="122"/>
      <c r="AC47" s="122"/>
      <c r="AD47" s="122"/>
    </row>
    <row r="48">
      <c r="A48" s="142">
        <v>27.0</v>
      </c>
      <c r="B48" s="139" t="s">
        <v>98</v>
      </c>
      <c r="C48" s="140"/>
      <c r="D48" s="139">
        <v>-5168.0</v>
      </c>
      <c r="E48" s="140"/>
      <c r="F48" s="140"/>
      <c r="G48" s="140"/>
      <c r="H48" s="140"/>
      <c r="I48" s="140"/>
      <c r="J48" s="140"/>
      <c r="K48" s="140"/>
      <c r="L48" s="140"/>
      <c r="M48" s="139" t="s">
        <v>72</v>
      </c>
      <c r="N48" s="139">
        <v>5168.0</v>
      </c>
      <c r="O48" s="140"/>
      <c r="P48" s="140"/>
      <c r="Q48" s="141"/>
      <c r="R48" s="140"/>
      <c r="S48" s="140"/>
      <c r="T48" s="140"/>
      <c r="U48" s="140"/>
      <c r="V48" s="141"/>
      <c r="W48" s="140"/>
      <c r="X48" s="140"/>
      <c r="Y48" s="140"/>
      <c r="Z48" s="141"/>
      <c r="AA48" s="120">
        <f t="shared" si="1"/>
        <v>0</v>
      </c>
      <c r="AB48" s="121"/>
      <c r="AC48" s="122"/>
      <c r="AD48" s="122"/>
    </row>
    <row r="49">
      <c r="A49" s="142">
        <v>19.0</v>
      </c>
      <c r="B49" s="139" t="s">
        <v>98</v>
      </c>
      <c r="C49" s="140"/>
      <c r="D49" s="139">
        <v>-8253.0</v>
      </c>
      <c r="E49" s="140"/>
      <c r="F49" s="140"/>
      <c r="G49" s="140"/>
      <c r="H49" s="140"/>
      <c r="I49" s="140"/>
      <c r="J49" s="140"/>
      <c r="K49" s="140"/>
      <c r="L49" s="140"/>
      <c r="M49" s="139" t="s">
        <v>72</v>
      </c>
      <c r="N49" s="139">
        <v>8253.0</v>
      </c>
      <c r="O49" s="141"/>
      <c r="P49" s="140"/>
      <c r="Q49" s="140"/>
      <c r="R49" s="140"/>
      <c r="S49" s="140"/>
      <c r="T49" s="140"/>
      <c r="U49" s="140"/>
      <c r="V49" s="141"/>
      <c r="W49" s="140"/>
      <c r="X49" s="140"/>
      <c r="Y49" s="140"/>
      <c r="Z49" s="141"/>
      <c r="AA49" s="120">
        <f t="shared" si="1"/>
        <v>0</v>
      </c>
      <c r="AB49" s="111"/>
      <c r="AC49" s="111"/>
      <c r="AD49" s="111"/>
    </row>
    <row r="50">
      <c r="A50" s="142">
        <v>25.0</v>
      </c>
      <c r="B50" s="139" t="s">
        <v>98</v>
      </c>
      <c r="C50" s="140"/>
      <c r="D50" s="139">
        <v>-172.0</v>
      </c>
      <c r="E50" s="140"/>
      <c r="F50" s="140"/>
      <c r="G50" s="140"/>
      <c r="H50" s="140"/>
      <c r="I50" s="140"/>
      <c r="J50" s="140"/>
      <c r="K50" s="140"/>
      <c r="L50" s="140"/>
      <c r="M50" s="139" t="s">
        <v>72</v>
      </c>
      <c r="N50" s="139">
        <v>172.0</v>
      </c>
      <c r="O50" s="141"/>
      <c r="P50" s="140"/>
      <c r="Q50" s="140"/>
      <c r="R50" s="140"/>
      <c r="S50" s="140"/>
      <c r="T50" s="140"/>
      <c r="U50" s="140"/>
      <c r="V50" s="141"/>
      <c r="W50" s="140"/>
      <c r="X50" s="140"/>
      <c r="Y50" s="140"/>
      <c r="Z50" s="141"/>
      <c r="AA50" s="120">
        <f t="shared" si="1"/>
        <v>0</v>
      </c>
      <c r="AB50" s="121"/>
      <c r="AC50" s="122"/>
      <c r="AD50" s="122"/>
    </row>
    <row r="51">
      <c r="A51" s="142">
        <v>13.0</v>
      </c>
      <c r="B51" s="139" t="s">
        <v>98</v>
      </c>
      <c r="C51" s="141"/>
      <c r="D51" s="139">
        <v>-6821.0</v>
      </c>
      <c r="E51" s="140"/>
      <c r="F51" s="140"/>
      <c r="G51" s="140"/>
      <c r="H51" s="140"/>
      <c r="I51" s="140"/>
      <c r="J51" s="140"/>
      <c r="K51" s="140"/>
      <c r="L51" s="140"/>
      <c r="M51" s="139" t="s">
        <v>72</v>
      </c>
      <c r="N51" s="139">
        <v>6821.0</v>
      </c>
      <c r="O51" s="140"/>
      <c r="P51" s="140"/>
      <c r="Q51" s="141"/>
      <c r="R51" s="140"/>
      <c r="S51" s="140"/>
      <c r="T51" s="140"/>
      <c r="U51" s="140"/>
      <c r="V51" s="141"/>
      <c r="W51" s="140"/>
      <c r="X51" s="140"/>
      <c r="Y51" s="140"/>
      <c r="Z51" s="141"/>
      <c r="AA51" s="120">
        <f t="shared" si="1"/>
        <v>0</v>
      </c>
      <c r="AB51" s="121"/>
      <c r="AC51" s="111"/>
      <c r="AD51" s="111"/>
    </row>
    <row r="52">
      <c r="A52" s="142">
        <v>1.0</v>
      </c>
      <c r="B52" s="139" t="s">
        <v>98</v>
      </c>
      <c r="C52" s="141"/>
      <c r="D52" s="139">
        <v>-500.0</v>
      </c>
      <c r="E52" s="140"/>
      <c r="F52" s="140"/>
      <c r="G52" s="140"/>
      <c r="H52" s="140"/>
      <c r="I52" s="140"/>
      <c r="J52" s="140"/>
      <c r="K52" s="140"/>
      <c r="L52" s="140"/>
      <c r="M52" s="139" t="s">
        <v>72</v>
      </c>
      <c r="N52" s="139">
        <v>500.0</v>
      </c>
      <c r="O52" s="140"/>
      <c r="P52" s="140"/>
      <c r="Q52" s="141"/>
      <c r="R52" s="140"/>
      <c r="S52" s="140"/>
      <c r="T52" s="140"/>
      <c r="U52" s="140"/>
      <c r="V52" s="141"/>
      <c r="W52" s="140"/>
      <c r="X52" s="140"/>
      <c r="Y52" s="140"/>
      <c r="Z52" s="141"/>
      <c r="AA52" s="120">
        <f t="shared" si="1"/>
        <v>0</v>
      </c>
      <c r="AB52" s="121"/>
      <c r="AC52" s="111"/>
      <c r="AD52" s="111"/>
    </row>
    <row r="53">
      <c r="A53" s="142">
        <v>6.0</v>
      </c>
      <c r="B53" s="139" t="s">
        <v>98</v>
      </c>
      <c r="C53" s="141"/>
      <c r="D53" s="139">
        <v>-5829.0</v>
      </c>
      <c r="E53" s="140"/>
      <c r="F53" s="140"/>
      <c r="G53" s="140"/>
      <c r="H53" s="140"/>
      <c r="I53" s="140"/>
      <c r="J53" s="140"/>
      <c r="K53" s="140"/>
      <c r="L53" s="140"/>
      <c r="M53" s="139" t="s">
        <v>72</v>
      </c>
      <c r="N53" s="139">
        <v>5829.0</v>
      </c>
      <c r="O53" s="140"/>
      <c r="P53" s="140"/>
      <c r="Q53" s="140"/>
      <c r="R53" s="140"/>
      <c r="S53" s="140"/>
      <c r="T53" s="140"/>
      <c r="U53" s="140"/>
      <c r="V53" s="141"/>
      <c r="W53" s="140"/>
      <c r="X53" s="141"/>
      <c r="Y53" s="140"/>
      <c r="Z53" s="141"/>
      <c r="AA53" s="120">
        <f t="shared" si="1"/>
        <v>0</v>
      </c>
      <c r="AB53" s="111"/>
      <c r="AC53" s="111"/>
      <c r="AD53" s="111"/>
    </row>
    <row r="54">
      <c r="A54" s="142">
        <v>30.0</v>
      </c>
      <c r="B54" s="139" t="s">
        <v>98</v>
      </c>
      <c r="C54" s="141"/>
      <c r="D54" s="139">
        <v>-4894.0</v>
      </c>
      <c r="E54" s="140"/>
      <c r="F54" s="140"/>
      <c r="G54" s="140"/>
      <c r="H54" s="140"/>
      <c r="I54" s="140"/>
      <c r="J54" s="140"/>
      <c r="K54" s="140"/>
      <c r="L54" s="140"/>
      <c r="M54" s="139" t="s">
        <v>72</v>
      </c>
      <c r="N54" s="139">
        <v>4894.0</v>
      </c>
      <c r="O54" s="140"/>
      <c r="P54" s="140"/>
      <c r="Q54" s="140"/>
      <c r="R54" s="140"/>
      <c r="S54" s="140"/>
      <c r="T54" s="140"/>
      <c r="U54" s="140"/>
      <c r="V54" s="141"/>
      <c r="W54" s="140"/>
      <c r="X54" s="140"/>
      <c r="Y54" s="140"/>
      <c r="Z54" s="141"/>
      <c r="AA54" s="120">
        <f t="shared" si="1"/>
        <v>0</v>
      </c>
      <c r="AB54" s="122"/>
      <c r="AC54" s="122"/>
      <c r="AD54" s="122"/>
    </row>
    <row r="55">
      <c r="A55" s="142">
        <v>28.0</v>
      </c>
      <c r="B55" s="139" t="s">
        <v>98</v>
      </c>
      <c r="C55" s="141"/>
      <c r="D55" s="139">
        <v>-313.0</v>
      </c>
      <c r="E55" s="140"/>
      <c r="F55" s="140"/>
      <c r="G55" s="140"/>
      <c r="H55" s="140"/>
      <c r="I55" s="140"/>
      <c r="J55" s="140"/>
      <c r="K55" s="140"/>
      <c r="L55" s="140"/>
      <c r="M55" s="139" t="s">
        <v>81</v>
      </c>
      <c r="N55" s="139">
        <v>313.0</v>
      </c>
      <c r="O55" s="140"/>
      <c r="P55" s="140"/>
      <c r="Q55" s="140"/>
      <c r="R55" s="140"/>
      <c r="S55" s="140"/>
      <c r="T55" s="140"/>
      <c r="U55" s="141"/>
      <c r="V55" s="141"/>
      <c r="W55" s="140"/>
      <c r="X55" s="140"/>
      <c r="Y55" s="140"/>
      <c r="Z55" s="141"/>
      <c r="AA55" s="120">
        <f t="shared" si="1"/>
        <v>0</v>
      </c>
      <c r="AB55" s="121"/>
      <c r="AC55" s="122"/>
      <c r="AD55" s="122"/>
    </row>
    <row r="56">
      <c r="A56" s="142">
        <v>25.0</v>
      </c>
      <c r="B56" s="139" t="s">
        <v>98</v>
      </c>
      <c r="C56" s="141"/>
      <c r="D56" s="139">
        <v>-324.0</v>
      </c>
      <c r="E56" s="140"/>
      <c r="F56" s="140"/>
      <c r="G56" s="140"/>
      <c r="H56" s="140"/>
      <c r="I56" s="140"/>
      <c r="J56" s="140"/>
      <c r="K56" s="140"/>
      <c r="L56" s="140"/>
      <c r="M56" s="139" t="s">
        <v>72</v>
      </c>
      <c r="N56" s="139">
        <v>324.0</v>
      </c>
      <c r="O56" s="140"/>
      <c r="P56" s="140"/>
      <c r="Q56" s="140"/>
      <c r="R56" s="140"/>
      <c r="S56" s="140"/>
      <c r="T56" s="140"/>
      <c r="U56" s="141"/>
      <c r="V56" s="141"/>
      <c r="W56" s="140"/>
      <c r="X56" s="140"/>
      <c r="Y56" s="140"/>
      <c r="Z56" s="141"/>
      <c r="AA56" s="120">
        <f t="shared" si="1"/>
        <v>0</v>
      </c>
      <c r="AB56" s="122"/>
      <c r="AC56" s="122"/>
      <c r="AD56" s="122"/>
    </row>
    <row r="57">
      <c r="A57" s="142">
        <v>28.0</v>
      </c>
      <c r="B57" s="139" t="s">
        <v>98</v>
      </c>
      <c r="C57" s="140"/>
      <c r="D57" s="139">
        <v>-410.0</v>
      </c>
      <c r="E57" s="141"/>
      <c r="F57" s="141"/>
      <c r="G57" s="140"/>
      <c r="H57" s="140"/>
      <c r="I57" s="140"/>
      <c r="J57" s="140"/>
      <c r="K57" s="140"/>
      <c r="L57" s="140"/>
      <c r="M57" s="139" t="s">
        <v>72</v>
      </c>
      <c r="N57" s="139">
        <v>410.0</v>
      </c>
      <c r="O57" s="140"/>
      <c r="P57" s="140"/>
      <c r="Q57" s="140"/>
      <c r="R57" s="140"/>
      <c r="S57" s="140"/>
      <c r="T57" s="140"/>
      <c r="U57" s="140"/>
      <c r="V57" s="141"/>
      <c r="W57" s="140"/>
      <c r="X57" s="140"/>
      <c r="Y57" s="140"/>
      <c r="Z57" s="141"/>
      <c r="AA57" s="120">
        <f t="shared" si="1"/>
        <v>0</v>
      </c>
      <c r="AB57" s="122"/>
      <c r="AC57" s="122"/>
      <c r="AD57" s="122"/>
    </row>
    <row r="58">
      <c r="A58" s="142">
        <v>31.0</v>
      </c>
      <c r="B58" s="139" t="s">
        <v>98</v>
      </c>
      <c r="C58" s="140"/>
      <c r="D58" s="139">
        <v>-2310.0</v>
      </c>
      <c r="E58" s="141"/>
      <c r="F58" s="141"/>
      <c r="G58" s="140"/>
      <c r="H58" s="140"/>
      <c r="I58" s="140"/>
      <c r="J58" s="140"/>
      <c r="K58" s="140"/>
      <c r="L58" s="140"/>
      <c r="M58" s="139" t="s">
        <v>72</v>
      </c>
      <c r="N58" s="139">
        <v>2310.0</v>
      </c>
      <c r="O58" s="140"/>
      <c r="P58" s="140"/>
      <c r="Q58" s="140"/>
      <c r="R58" s="140"/>
      <c r="S58" s="140"/>
      <c r="T58" s="140"/>
      <c r="U58" s="140"/>
      <c r="V58" s="141"/>
      <c r="W58" s="140"/>
      <c r="X58" s="140"/>
      <c r="Y58" s="140"/>
      <c r="Z58" s="141"/>
      <c r="AA58" s="120">
        <f t="shared" si="1"/>
        <v>0</v>
      </c>
      <c r="AB58" s="122"/>
      <c r="AC58" s="122"/>
      <c r="AD58" s="122"/>
    </row>
    <row r="59">
      <c r="A59" s="142">
        <v>24.0</v>
      </c>
      <c r="B59" s="139" t="s">
        <v>98</v>
      </c>
      <c r="C59" s="140"/>
      <c r="D59" s="139">
        <v>-1140.0</v>
      </c>
      <c r="E59" s="140"/>
      <c r="F59" s="140"/>
      <c r="G59" s="140"/>
      <c r="H59" s="140"/>
      <c r="I59" s="140"/>
      <c r="J59" s="140"/>
      <c r="K59" s="140"/>
      <c r="L59" s="140"/>
      <c r="M59" s="139" t="s">
        <v>72</v>
      </c>
      <c r="N59" s="139">
        <v>1140.0</v>
      </c>
      <c r="O59" s="140"/>
      <c r="P59" s="140"/>
      <c r="Q59" s="140"/>
      <c r="R59" s="140"/>
      <c r="S59" s="140"/>
      <c r="T59" s="140"/>
      <c r="U59" s="140"/>
      <c r="V59" s="141"/>
      <c r="W59" s="140"/>
      <c r="X59" s="140"/>
      <c r="Y59" s="140"/>
      <c r="Z59" s="141"/>
      <c r="AA59" s="120">
        <f t="shared" si="1"/>
        <v>0</v>
      </c>
      <c r="AB59" s="122"/>
      <c r="AC59" s="122"/>
      <c r="AD59" s="122"/>
    </row>
    <row r="60">
      <c r="A60" s="142">
        <v>25.0</v>
      </c>
      <c r="B60" s="139" t="s">
        <v>98</v>
      </c>
      <c r="C60" s="140"/>
      <c r="D60" s="139">
        <v>-4700.0</v>
      </c>
      <c r="E60" s="140"/>
      <c r="F60" s="140"/>
      <c r="G60" s="140"/>
      <c r="H60" s="140"/>
      <c r="I60" s="140"/>
      <c r="J60" s="140"/>
      <c r="K60" s="140"/>
      <c r="L60" s="140"/>
      <c r="M60" s="139" t="s">
        <v>72</v>
      </c>
      <c r="N60" s="139">
        <v>4700.0</v>
      </c>
      <c r="O60" s="140"/>
      <c r="P60" s="140"/>
      <c r="Q60" s="141"/>
      <c r="R60" s="140"/>
      <c r="S60" s="140"/>
      <c r="T60" s="140"/>
      <c r="U60" s="140"/>
      <c r="V60" s="141"/>
      <c r="W60" s="140"/>
      <c r="X60" s="140"/>
      <c r="Y60" s="140"/>
      <c r="Z60" s="141"/>
      <c r="AA60" s="120">
        <f t="shared" si="1"/>
        <v>0</v>
      </c>
      <c r="AB60" s="111"/>
      <c r="AC60" s="111"/>
      <c r="AD60" s="111"/>
    </row>
    <row r="61">
      <c r="A61" s="142">
        <v>18.0</v>
      </c>
      <c r="B61" s="139" t="s">
        <v>99</v>
      </c>
      <c r="C61" s="140"/>
      <c r="D61" s="139">
        <v>-220.0</v>
      </c>
      <c r="E61" s="140"/>
      <c r="F61" s="140"/>
      <c r="G61" s="140"/>
      <c r="H61" s="140"/>
      <c r="I61" s="140"/>
      <c r="J61" s="140"/>
      <c r="K61" s="140"/>
      <c r="L61" s="140"/>
      <c r="M61" s="139" t="s">
        <v>72</v>
      </c>
      <c r="N61" s="140"/>
      <c r="O61" s="140"/>
      <c r="P61" s="140"/>
      <c r="Q61" s="139">
        <v>220.0</v>
      </c>
      <c r="R61" s="140"/>
      <c r="S61" s="140"/>
      <c r="T61" s="140"/>
      <c r="U61" s="140"/>
      <c r="V61" s="141"/>
      <c r="W61" s="140"/>
      <c r="X61" s="140"/>
      <c r="Y61" s="140"/>
      <c r="Z61" s="141"/>
      <c r="AA61" s="120">
        <f t="shared" si="1"/>
        <v>0</v>
      </c>
      <c r="AB61" s="122"/>
      <c r="AC61" s="122"/>
      <c r="AD61" s="122"/>
    </row>
    <row r="62">
      <c r="A62" s="142">
        <v>8.0</v>
      </c>
      <c r="B62" s="139" t="s">
        <v>121</v>
      </c>
      <c r="C62" s="140"/>
      <c r="D62" s="139">
        <v>-1100.0</v>
      </c>
      <c r="E62" s="140"/>
      <c r="F62" s="140"/>
      <c r="G62" s="140"/>
      <c r="H62" s="141"/>
      <c r="I62" s="140"/>
      <c r="J62" s="140"/>
      <c r="K62" s="140"/>
      <c r="L62" s="140"/>
      <c r="M62" s="139" t="s">
        <v>81</v>
      </c>
      <c r="N62" s="141"/>
      <c r="O62" s="140"/>
      <c r="P62" s="140"/>
      <c r="Q62" s="139">
        <v>1100.0</v>
      </c>
      <c r="R62" s="140"/>
      <c r="S62" s="140"/>
      <c r="T62" s="140"/>
      <c r="U62" s="140"/>
      <c r="V62" s="141"/>
      <c r="W62" s="140"/>
      <c r="X62" s="140"/>
      <c r="Y62" s="140"/>
      <c r="Z62" s="141"/>
      <c r="AA62" s="120">
        <f t="shared" si="1"/>
        <v>0</v>
      </c>
      <c r="AB62" s="122"/>
      <c r="AC62" s="122"/>
      <c r="AD62" s="122"/>
    </row>
    <row r="63">
      <c r="A63" s="142">
        <v>18.0</v>
      </c>
      <c r="B63" s="139" t="s">
        <v>121</v>
      </c>
      <c r="C63" s="140"/>
      <c r="D63" s="139">
        <v>-427.0</v>
      </c>
      <c r="E63" s="140"/>
      <c r="F63" s="140"/>
      <c r="G63" s="140"/>
      <c r="H63" s="140"/>
      <c r="I63" s="140"/>
      <c r="J63" s="140"/>
      <c r="K63" s="140"/>
      <c r="L63" s="141"/>
      <c r="M63" s="139" t="s">
        <v>72</v>
      </c>
      <c r="N63" s="140"/>
      <c r="O63" s="140"/>
      <c r="P63" s="140"/>
      <c r="Q63" s="139">
        <v>427.0</v>
      </c>
      <c r="R63" s="140"/>
      <c r="S63" s="140"/>
      <c r="T63" s="140"/>
      <c r="U63" s="140"/>
      <c r="V63" s="141"/>
      <c r="W63" s="140"/>
      <c r="X63" s="140"/>
      <c r="Y63" s="140"/>
      <c r="Z63" s="141"/>
      <c r="AA63" s="120">
        <f t="shared" si="1"/>
        <v>0</v>
      </c>
      <c r="AB63" s="122"/>
      <c r="AC63" s="122"/>
      <c r="AD63" s="122"/>
    </row>
    <row r="64">
      <c r="A64" s="142">
        <v>25.0</v>
      </c>
      <c r="B64" s="139" t="s">
        <v>121</v>
      </c>
      <c r="C64" s="140"/>
      <c r="D64" s="139">
        <v>-511.0</v>
      </c>
      <c r="E64" s="140"/>
      <c r="F64" s="140"/>
      <c r="G64" s="140"/>
      <c r="H64" s="140"/>
      <c r="I64" s="140"/>
      <c r="J64" s="140"/>
      <c r="K64" s="140"/>
      <c r="L64" s="140"/>
      <c r="M64" s="139" t="s">
        <v>72</v>
      </c>
      <c r="N64" s="141"/>
      <c r="O64" s="140"/>
      <c r="P64" s="140"/>
      <c r="Q64" s="139">
        <v>511.0</v>
      </c>
      <c r="R64" s="140"/>
      <c r="S64" s="140"/>
      <c r="T64" s="140"/>
      <c r="U64" s="141"/>
      <c r="V64" s="141"/>
      <c r="W64" s="140"/>
      <c r="X64" s="140"/>
      <c r="Y64" s="140"/>
      <c r="Z64" s="141"/>
      <c r="AA64" s="120">
        <f t="shared" si="1"/>
        <v>0</v>
      </c>
      <c r="AB64" s="122"/>
      <c r="AC64" s="122"/>
      <c r="AD64" s="122"/>
    </row>
    <row r="65">
      <c r="A65" s="142">
        <v>28.0</v>
      </c>
      <c r="B65" s="139" t="s">
        <v>121</v>
      </c>
      <c r="C65" s="140"/>
      <c r="D65" s="139">
        <v>-220.0</v>
      </c>
      <c r="E65" s="140"/>
      <c r="F65" s="140"/>
      <c r="G65" s="140"/>
      <c r="H65" s="140"/>
      <c r="I65" s="140"/>
      <c r="J65" s="140"/>
      <c r="K65" s="140"/>
      <c r="L65" s="140"/>
      <c r="M65" s="139" t="s">
        <v>72</v>
      </c>
      <c r="N65" s="141"/>
      <c r="O65" s="140"/>
      <c r="P65" s="140"/>
      <c r="Q65" s="139">
        <v>220.0</v>
      </c>
      <c r="R65" s="140"/>
      <c r="S65" s="140"/>
      <c r="T65" s="140"/>
      <c r="U65" s="141"/>
      <c r="V65" s="141"/>
      <c r="W65" s="140"/>
      <c r="X65" s="140"/>
      <c r="Y65" s="140"/>
      <c r="Z65" s="141"/>
      <c r="AA65" s="120">
        <f t="shared" si="1"/>
        <v>0</v>
      </c>
      <c r="AB65" s="122"/>
      <c r="AC65" s="122"/>
      <c r="AD65" s="122"/>
    </row>
    <row r="66">
      <c r="A66" s="142">
        <v>25.0</v>
      </c>
      <c r="B66" s="139" t="s">
        <v>64</v>
      </c>
      <c r="C66" s="140"/>
      <c r="D66" s="139">
        <v>-1200.0</v>
      </c>
      <c r="E66" s="140"/>
      <c r="F66" s="140"/>
      <c r="G66" s="140"/>
      <c r="H66" s="140"/>
      <c r="I66" s="140"/>
      <c r="J66" s="140"/>
      <c r="K66" s="140"/>
      <c r="L66" s="140"/>
      <c r="M66" s="139" t="s">
        <v>72</v>
      </c>
      <c r="N66" s="140"/>
      <c r="O66" s="139">
        <v>1200.0</v>
      </c>
      <c r="P66" s="140"/>
      <c r="Q66" s="140"/>
      <c r="R66" s="140"/>
      <c r="S66" s="140"/>
      <c r="T66" s="140"/>
      <c r="U66" s="140"/>
      <c r="V66" s="141"/>
      <c r="W66" s="140"/>
      <c r="X66" s="140"/>
      <c r="Y66" s="140"/>
      <c r="Z66" s="141"/>
      <c r="AA66" s="120">
        <f t="shared" si="1"/>
        <v>0</v>
      </c>
      <c r="AB66" s="122"/>
      <c r="AC66" s="122"/>
      <c r="AD66" s="122"/>
    </row>
    <row r="67">
      <c r="A67" s="142">
        <v>31.0</v>
      </c>
      <c r="B67" s="139" t="s">
        <v>64</v>
      </c>
      <c r="C67" s="140"/>
      <c r="D67" s="139">
        <v>-2000.0</v>
      </c>
      <c r="E67" s="140"/>
      <c r="F67" s="140"/>
      <c r="G67" s="140"/>
      <c r="H67" s="140"/>
      <c r="I67" s="140"/>
      <c r="J67" s="140"/>
      <c r="K67" s="140"/>
      <c r="L67" s="140"/>
      <c r="M67" s="139" t="s">
        <v>72</v>
      </c>
      <c r="N67" s="140"/>
      <c r="O67" s="139">
        <v>2000.0</v>
      </c>
      <c r="P67" s="140"/>
      <c r="Q67" s="140"/>
      <c r="R67" s="140"/>
      <c r="S67" s="140"/>
      <c r="T67" s="140"/>
      <c r="U67" s="140"/>
      <c r="V67" s="141"/>
      <c r="W67" s="140"/>
      <c r="X67" s="140"/>
      <c r="Y67" s="140"/>
      <c r="Z67" s="141"/>
      <c r="AA67" s="120">
        <f t="shared" si="1"/>
        <v>0</v>
      </c>
      <c r="AB67" s="122"/>
      <c r="AC67" s="122"/>
      <c r="AD67" s="122"/>
    </row>
    <row r="68">
      <c r="A68" s="142">
        <v>2.0</v>
      </c>
      <c r="B68" s="139" t="s">
        <v>176</v>
      </c>
      <c r="C68" s="139">
        <v>-1600.0</v>
      </c>
      <c r="D68" s="140"/>
      <c r="E68" s="140"/>
      <c r="F68" s="140"/>
      <c r="G68" s="140"/>
      <c r="H68" s="140"/>
      <c r="I68" s="140"/>
      <c r="J68" s="140"/>
      <c r="K68" s="140"/>
      <c r="L68" s="140"/>
      <c r="M68" s="139" t="s">
        <v>81</v>
      </c>
      <c r="N68" s="140"/>
      <c r="O68" s="140"/>
      <c r="P68" s="140"/>
      <c r="Q68" s="139">
        <v>1600.0</v>
      </c>
      <c r="R68" s="140"/>
      <c r="S68" s="140"/>
      <c r="T68" s="140"/>
      <c r="U68" s="140"/>
      <c r="V68" s="141"/>
      <c r="W68" s="140"/>
      <c r="X68" s="140"/>
      <c r="Y68" s="140"/>
      <c r="Z68" s="141"/>
      <c r="AA68" s="120">
        <f t="shared" si="1"/>
        <v>0</v>
      </c>
      <c r="AB68" s="122"/>
      <c r="AC68" s="122"/>
      <c r="AD68" s="122"/>
    </row>
    <row r="69">
      <c r="A69" s="142">
        <v>17.0</v>
      </c>
      <c r="B69" s="139" t="s">
        <v>29</v>
      </c>
      <c r="C69" s="139">
        <v>148000.0</v>
      </c>
      <c r="D69" s="140"/>
      <c r="E69" s="140"/>
      <c r="F69" s="140"/>
      <c r="G69" s="140"/>
      <c r="H69" s="140"/>
      <c r="I69" s="140"/>
      <c r="J69" s="140"/>
      <c r="K69" s="140"/>
      <c r="L69" s="140"/>
      <c r="M69" s="141"/>
      <c r="N69" s="140"/>
      <c r="O69" s="140"/>
      <c r="P69" s="140"/>
      <c r="Q69" s="140"/>
      <c r="R69" s="140"/>
      <c r="S69" s="140"/>
      <c r="T69" s="140"/>
      <c r="U69" s="140"/>
      <c r="V69" s="141"/>
      <c r="W69" s="140"/>
      <c r="X69" s="139">
        <v>148000.0</v>
      </c>
      <c r="Y69" s="140"/>
      <c r="Z69" s="141"/>
      <c r="AA69" s="120">
        <f t="shared" si="1"/>
        <v>0</v>
      </c>
      <c r="AB69" s="122"/>
      <c r="AC69" s="122"/>
      <c r="AD69" s="122"/>
    </row>
    <row r="70">
      <c r="A70" s="142">
        <v>24.0</v>
      </c>
      <c r="B70" s="139" t="s">
        <v>29</v>
      </c>
      <c r="C70" s="139">
        <v>148000.0</v>
      </c>
      <c r="D70" s="140"/>
      <c r="E70" s="140"/>
      <c r="F70" s="140"/>
      <c r="G70" s="140"/>
      <c r="H70" s="140"/>
      <c r="I70" s="140"/>
      <c r="J70" s="140"/>
      <c r="K70" s="140"/>
      <c r="L70" s="140"/>
      <c r="M70" s="141"/>
      <c r="N70" s="140"/>
      <c r="O70" s="140"/>
      <c r="P70" s="140"/>
      <c r="Q70" s="140"/>
      <c r="R70" s="140"/>
      <c r="S70" s="140"/>
      <c r="T70" s="140"/>
      <c r="U70" s="140"/>
      <c r="V70" s="141"/>
      <c r="W70" s="140"/>
      <c r="X70" s="139">
        <v>148000.0</v>
      </c>
      <c r="Y70" s="140"/>
      <c r="Z70" s="141"/>
      <c r="AA70" s="120">
        <f t="shared" si="1"/>
        <v>0</v>
      </c>
      <c r="AB70" s="122"/>
      <c r="AC70" s="122"/>
      <c r="AD70" s="122"/>
    </row>
    <row r="71">
      <c r="A71" s="142">
        <v>19.0</v>
      </c>
      <c r="B71" s="139" t="s">
        <v>103</v>
      </c>
      <c r="C71" s="139">
        <v>-30000.0</v>
      </c>
      <c r="D71" s="139">
        <v>30000.0</v>
      </c>
      <c r="E71" s="140"/>
      <c r="F71" s="140"/>
      <c r="G71" s="140"/>
      <c r="H71" s="140"/>
      <c r="I71" s="140"/>
      <c r="J71" s="140"/>
      <c r="K71" s="140"/>
      <c r="L71" s="140"/>
      <c r="M71" s="141"/>
      <c r="N71" s="140"/>
      <c r="O71" s="140"/>
      <c r="P71" s="140"/>
      <c r="Q71" s="140"/>
      <c r="R71" s="140"/>
      <c r="S71" s="140"/>
      <c r="T71" s="140"/>
      <c r="U71" s="140"/>
      <c r="V71" s="141"/>
      <c r="W71" s="140"/>
      <c r="X71" s="140"/>
      <c r="Y71" s="140"/>
      <c r="Z71" s="141"/>
      <c r="AA71" s="120">
        <f t="shared" si="1"/>
        <v>0</v>
      </c>
      <c r="AB71" s="122"/>
      <c r="AC71" s="122"/>
      <c r="AD71" s="122"/>
    </row>
    <row r="72">
      <c r="A72" s="142">
        <v>26.0</v>
      </c>
      <c r="B72" s="139" t="s">
        <v>122</v>
      </c>
      <c r="C72" s="139">
        <v>-43176.0</v>
      </c>
      <c r="D72" s="140"/>
      <c r="E72" s="140"/>
      <c r="F72" s="140"/>
      <c r="G72" s="140"/>
      <c r="H72" s="140"/>
      <c r="I72" s="140"/>
      <c r="J72" s="140"/>
      <c r="K72" s="140"/>
      <c r="L72" s="140"/>
      <c r="M72" s="141"/>
      <c r="N72" s="140"/>
      <c r="O72" s="140"/>
      <c r="P72" s="140"/>
      <c r="Q72" s="140"/>
      <c r="R72" s="140"/>
      <c r="S72" s="140"/>
      <c r="T72" s="140"/>
      <c r="U72" s="139">
        <v>-43176.0</v>
      </c>
      <c r="V72" s="141"/>
      <c r="W72" s="140"/>
      <c r="X72" s="140"/>
      <c r="Y72" s="140"/>
      <c r="Z72" s="141"/>
      <c r="AA72" s="120">
        <f t="shared" si="1"/>
        <v>0</v>
      </c>
      <c r="AB72" s="122"/>
      <c r="AC72" s="122"/>
      <c r="AD72" s="122"/>
    </row>
    <row r="73">
      <c r="A73" s="142">
        <v>26.0</v>
      </c>
      <c r="B73" s="139" t="s">
        <v>122</v>
      </c>
      <c r="C73" s="139">
        <v>-48153.0</v>
      </c>
      <c r="D73" s="140"/>
      <c r="E73" s="140"/>
      <c r="F73" s="140"/>
      <c r="G73" s="140"/>
      <c r="H73" s="140"/>
      <c r="I73" s="140"/>
      <c r="J73" s="140"/>
      <c r="K73" s="140"/>
      <c r="L73" s="140"/>
      <c r="M73" s="141"/>
      <c r="N73" s="140"/>
      <c r="O73" s="140"/>
      <c r="P73" s="140"/>
      <c r="Q73" s="140"/>
      <c r="R73" s="140"/>
      <c r="S73" s="140"/>
      <c r="T73" s="140"/>
      <c r="U73" s="139">
        <v>-48153.0</v>
      </c>
      <c r="V73" s="141"/>
      <c r="W73" s="140"/>
      <c r="X73" s="140"/>
      <c r="Y73" s="140"/>
      <c r="Z73" s="141"/>
      <c r="AA73" s="120">
        <f t="shared" si="1"/>
        <v>0</v>
      </c>
      <c r="AB73" s="122"/>
      <c r="AC73" s="122"/>
      <c r="AD73" s="122"/>
    </row>
    <row r="74">
      <c r="A74" s="124">
        <v>24.0</v>
      </c>
      <c r="B74" s="125" t="s">
        <v>177</v>
      </c>
      <c r="C74" s="143"/>
      <c r="D74" s="143"/>
      <c r="E74" s="122"/>
      <c r="F74" s="122"/>
      <c r="G74" s="122">
        <f>70*107</f>
        <v>7490</v>
      </c>
      <c r="H74" s="122"/>
      <c r="I74" s="122"/>
      <c r="J74" s="122"/>
      <c r="K74" s="122"/>
      <c r="L74" s="122"/>
      <c r="M74" s="124"/>
      <c r="N74" s="122"/>
      <c r="O74" s="122"/>
      <c r="P74" s="122"/>
      <c r="Q74" s="122"/>
      <c r="R74" s="122"/>
      <c r="S74" s="122"/>
      <c r="T74" s="122"/>
      <c r="U74" s="122"/>
      <c r="V74" s="124"/>
      <c r="W74" s="122"/>
      <c r="X74" s="122"/>
      <c r="Y74" s="122"/>
      <c r="Z74" s="124">
        <v>7490.0</v>
      </c>
      <c r="AA74" s="120">
        <f t="shared" si="1"/>
        <v>0</v>
      </c>
      <c r="AB74" s="122"/>
      <c r="AC74" s="122"/>
      <c r="AD74" s="122"/>
    </row>
    <row r="75">
      <c r="A75" s="144"/>
      <c r="B75" s="145" t="s">
        <v>178</v>
      </c>
      <c r="C75" s="127"/>
      <c r="D75" s="128"/>
      <c r="E75" s="128"/>
      <c r="F75" s="128"/>
      <c r="G75" s="128"/>
      <c r="H75" s="127">
        <v>-1680.0</v>
      </c>
      <c r="I75" s="128"/>
      <c r="J75" s="128"/>
      <c r="K75" s="128"/>
      <c r="L75" s="128"/>
      <c r="M75" s="127" t="s">
        <v>81</v>
      </c>
      <c r="N75" s="128"/>
      <c r="O75" s="128"/>
      <c r="P75" s="128"/>
      <c r="Q75" s="127">
        <v>1680.0</v>
      </c>
      <c r="R75" s="128"/>
      <c r="S75" s="128"/>
      <c r="T75" s="128"/>
      <c r="U75" s="127"/>
      <c r="V75" s="129"/>
      <c r="W75" s="128"/>
      <c r="X75" s="128"/>
      <c r="Y75" s="128"/>
      <c r="Z75" s="129"/>
      <c r="AA75" s="120">
        <f t="shared" si="1"/>
        <v>0</v>
      </c>
      <c r="AB75" s="122"/>
      <c r="AC75" s="122"/>
      <c r="AD75" s="122"/>
    </row>
    <row r="76">
      <c r="A76" s="124">
        <v>5.0</v>
      </c>
      <c r="B76" s="146" t="s">
        <v>179</v>
      </c>
      <c r="C76" s="147"/>
      <c r="D76" s="148"/>
      <c r="E76" s="148"/>
      <c r="F76" s="148"/>
      <c r="G76" s="148"/>
      <c r="H76" s="148"/>
      <c r="I76" s="146">
        <f>16*9000</f>
        <v>144000</v>
      </c>
      <c r="J76" s="148"/>
      <c r="K76" s="148"/>
      <c r="L76" s="148"/>
      <c r="M76" s="147"/>
      <c r="N76" s="148"/>
      <c r="O76" s="148"/>
      <c r="P76" s="148"/>
      <c r="Q76" s="148"/>
      <c r="R76" s="148"/>
      <c r="S76" s="148"/>
      <c r="T76" s="148"/>
      <c r="U76" s="147"/>
      <c r="V76" s="147"/>
      <c r="W76" s="148"/>
      <c r="X76" s="148"/>
      <c r="Y76" s="148"/>
      <c r="Z76" s="147">
        <f>16*9000</f>
        <v>144000</v>
      </c>
      <c r="AA76" s="120">
        <f t="shared" si="1"/>
        <v>0</v>
      </c>
      <c r="AB76" s="122"/>
      <c r="AC76" s="122"/>
      <c r="AD76" s="122"/>
    </row>
    <row r="77">
      <c r="A77" s="124">
        <v>31.0</v>
      </c>
      <c r="B77" s="125" t="s">
        <v>180</v>
      </c>
      <c r="C77" s="149">
        <v>-1600.0</v>
      </c>
      <c r="D77" s="143"/>
      <c r="E77" s="122"/>
      <c r="F77" s="122"/>
      <c r="G77" s="122"/>
      <c r="H77" s="122"/>
      <c r="I77" s="122"/>
      <c r="J77" s="122"/>
      <c r="K77" s="122"/>
      <c r="L77" s="122"/>
      <c r="M77" s="124" t="s">
        <v>81</v>
      </c>
      <c r="N77" s="122"/>
      <c r="O77" s="122"/>
      <c r="P77" s="122"/>
      <c r="Q77" s="124">
        <v>1600.0</v>
      </c>
      <c r="R77" s="122"/>
      <c r="S77" s="122"/>
      <c r="T77" s="122"/>
      <c r="U77" s="122"/>
      <c r="V77" s="124"/>
      <c r="W77" s="122"/>
      <c r="X77" s="122"/>
      <c r="Y77" s="122"/>
      <c r="Z77" s="124"/>
      <c r="AA77" s="124"/>
      <c r="AB77" s="122"/>
      <c r="AC77" s="122"/>
      <c r="AD77" s="122"/>
    </row>
    <row r="78">
      <c r="A78" s="109"/>
      <c r="B78" s="126"/>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c r="AC78" s="122"/>
      <c r="AD78" s="122"/>
    </row>
    <row r="79">
      <c r="A79" s="109"/>
      <c r="B79" s="126"/>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row>
    <row r="80">
      <c r="A80" s="109"/>
      <c r="B80" s="126"/>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c r="AD80" s="122"/>
    </row>
    <row r="81">
      <c r="A81" s="109"/>
      <c r="B81" s="126"/>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2"/>
      <c r="AC81" s="122"/>
      <c r="AD81" s="122"/>
    </row>
    <row r="82">
      <c r="A82" s="109"/>
      <c r="B82" s="126"/>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c r="AC82" s="122"/>
      <c r="AD82" s="122"/>
    </row>
    <row r="83">
      <c r="A83" s="109"/>
      <c r="B83" s="126"/>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row>
    <row r="84">
      <c r="A84" s="109"/>
      <c r="B84" s="126"/>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row>
    <row r="85">
      <c r="A85" s="109"/>
      <c r="B85" s="126"/>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row>
    <row r="86">
      <c r="A86" s="109"/>
      <c r="B86" s="126"/>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row>
    <row r="87">
      <c r="A87" s="109"/>
      <c r="B87" s="126"/>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row>
    <row r="88">
      <c r="A88" s="109"/>
      <c r="B88" s="126"/>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row>
    <row r="89">
      <c r="A89" s="109"/>
      <c r="B89" s="126"/>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row>
    <row r="90">
      <c r="A90" s="109"/>
      <c r="B90" s="126"/>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row>
    <row r="91">
      <c r="A91" s="109"/>
      <c r="B91" s="126"/>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row>
    <row r="92">
      <c r="A92" s="109"/>
      <c r="B92" s="126"/>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row>
    <row r="93">
      <c r="A93" s="109"/>
      <c r="B93" s="126"/>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row>
    <row r="94">
      <c r="A94" s="109"/>
      <c r="B94" s="126"/>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row>
    <row r="95">
      <c r="A95" s="109"/>
      <c r="B95" s="126"/>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row>
    <row r="96">
      <c r="A96" s="109"/>
      <c r="B96" s="126"/>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row>
    <row r="97">
      <c r="A97" s="109"/>
      <c r="B97" s="126"/>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c r="AD97" s="122"/>
    </row>
    <row r="98">
      <c r="A98" s="109"/>
      <c r="B98" s="126"/>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row>
    <row r="99">
      <c r="A99" s="109"/>
      <c r="B99" s="126"/>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row>
    <row r="100">
      <c r="A100" s="109"/>
      <c r="B100" s="126"/>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row>
    <row r="101">
      <c r="A101" s="109"/>
      <c r="B101" s="126"/>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2"/>
    </row>
    <row r="102">
      <c r="A102" s="109"/>
      <c r="B102" s="126"/>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c r="AD102" s="122"/>
    </row>
    <row r="103">
      <c r="A103" s="109"/>
      <c r="B103" s="126"/>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row>
    <row r="104">
      <c r="A104" s="109"/>
      <c r="B104" s="126"/>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row>
    <row r="105">
      <c r="A105" s="109"/>
      <c r="B105" s="126"/>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row>
    <row r="106">
      <c r="A106" s="109"/>
      <c r="B106" s="126"/>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c r="AD106" s="122"/>
    </row>
    <row r="107">
      <c r="A107" s="109"/>
      <c r="B107" s="126"/>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2"/>
    </row>
    <row r="108">
      <c r="A108" s="109"/>
      <c r="B108" s="126"/>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row>
    <row r="109">
      <c r="A109" s="109"/>
      <c r="B109" s="126"/>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c r="AD109" s="122"/>
    </row>
    <row r="110">
      <c r="A110" s="109"/>
      <c r="B110" s="126"/>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row>
    <row r="111">
      <c r="A111" s="109"/>
      <c r="B111" s="126"/>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c r="AD111" s="122"/>
    </row>
    <row r="112">
      <c r="A112" s="109"/>
      <c r="B112" s="126"/>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c r="AD112" s="122"/>
    </row>
    <row r="113">
      <c r="A113" s="109"/>
      <c r="B113" s="126"/>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row>
    <row r="114">
      <c r="A114" s="109"/>
      <c r="B114" s="126"/>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row>
    <row r="115">
      <c r="A115" s="109"/>
      <c r="B115" s="126"/>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row>
    <row r="116">
      <c r="A116" s="109"/>
      <c r="B116" s="126"/>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c r="AD116" s="122"/>
    </row>
    <row r="117">
      <c r="A117" s="109"/>
      <c r="B117" s="126"/>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2"/>
    </row>
    <row r="118">
      <c r="A118" s="109"/>
      <c r="B118" s="126"/>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c r="AD118" s="122"/>
    </row>
    <row r="119">
      <c r="A119" s="109"/>
      <c r="B119" s="126"/>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c r="AD119" s="122"/>
    </row>
    <row r="120">
      <c r="A120" s="109"/>
      <c r="B120" s="126"/>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row>
    <row r="121">
      <c r="A121" s="109"/>
      <c r="B121" s="126"/>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c r="AD121" s="122"/>
    </row>
    <row r="122">
      <c r="A122" s="109"/>
      <c r="B122" s="126"/>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c r="AD122" s="122"/>
    </row>
    <row r="123">
      <c r="A123" s="109"/>
      <c r="B123" s="126"/>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c r="AD123" s="122"/>
    </row>
    <row r="124">
      <c r="A124" s="109"/>
      <c r="B124" s="126"/>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row>
    <row r="125">
      <c r="A125" s="109"/>
      <c r="B125" s="126"/>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row>
    <row r="126">
      <c r="A126" s="109"/>
      <c r="B126" s="126"/>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c r="AD126" s="122"/>
    </row>
    <row r="127">
      <c r="A127" s="109"/>
      <c r="B127" s="126"/>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c r="AD127" s="122"/>
    </row>
    <row r="128">
      <c r="A128" s="109"/>
      <c r="B128" s="126"/>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c r="AD128" s="122"/>
    </row>
    <row r="129">
      <c r="A129" s="109"/>
      <c r="B129" s="126"/>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row>
    <row r="130">
      <c r="A130" s="109"/>
      <c r="B130" s="126"/>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row>
    <row r="131">
      <c r="A131" s="109"/>
      <c r="B131" s="126"/>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row>
    <row r="132">
      <c r="A132" s="109"/>
      <c r="B132" s="126"/>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c r="AD132" s="122"/>
    </row>
    <row r="133">
      <c r="A133" s="109"/>
      <c r="B133" s="126"/>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c r="AD133" s="122"/>
    </row>
    <row r="134">
      <c r="A134" s="109"/>
      <c r="B134" s="126"/>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c r="AD134" s="122"/>
    </row>
    <row r="135">
      <c r="A135" s="109"/>
      <c r="B135" s="126"/>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c r="AD135" s="122"/>
    </row>
    <row r="136">
      <c r="A136" s="109"/>
      <c r="B136" s="126"/>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2"/>
    </row>
    <row r="137">
      <c r="A137" s="109"/>
      <c r="B137" s="126"/>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c r="AD137" s="122"/>
    </row>
    <row r="138">
      <c r="A138" s="109"/>
      <c r="B138" s="126"/>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2"/>
    </row>
    <row r="139">
      <c r="A139" s="109"/>
      <c r="B139" s="126"/>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row>
    <row r="140">
      <c r="A140" s="109"/>
      <c r="B140" s="126"/>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2"/>
    </row>
    <row r="141">
      <c r="A141" s="109"/>
      <c r="B141" s="126"/>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row>
    <row r="142">
      <c r="A142" s="109"/>
      <c r="B142" s="126"/>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2"/>
    </row>
    <row r="143">
      <c r="A143" s="109"/>
      <c r="B143" s="126"/>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2"/>
    </row>
    <row r="144">
      <c r="A144" s="109"/>
      <c r="B144" s="126"/>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2"/>
    </row>
    <row r="145">
      <c r="A145" s="109"/>
      <c r="B145" s="126"/>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2"/>
    </row>
    <row r="146">
      <c r="A146" s="109"/>
      <c r="B146" s="126"/>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row>
    <row r="147">
      <c r="A147" s="109"/>
      <c r="B147" s="126"/>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row>
    <row r="148">
      <c r="A148" s="109"/>
      <c r="B148" s="126"/>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2"/>
    </row>
    <row r="149">
      <c r="A149" s="109"/>
      <c r="B149" s="126"/>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2"/>
    </row>
    <row r="150">
      <c r="A150" s="109"/>
      <c r="B150" s="126"/>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row>
    <row r="151">
      <c r="A151" s="109"/>
      <c r="B151" s="126"/>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row>
    <row r="152">
      <c r="A152" s="109"/>
      <c r="B152" s="126"/>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row>
    <row r="153">
      <c r="A153" s="109"/>
      <c r="B153" s="126"/>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c r="AD153" s="122"/>
    </row>
    <row r="154">
      <c r="A154" s="109"/>
      <c r="B154" s="126"/>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2"/>
    </row>
    <row r="155">
      <c r="A155" s="109"/>
      <c r="B155" s="126"/>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c r="AD155" s="122"/>
    </row>
    <row r="156">
      <c r="A156" s="109"/>
      <c r="B156" s="126"/>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c r="AD156" s="122"/>
    </row>
    <row r="157">
      <c r="A157" s="109"/>
      <c r="B157" s="126"/>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c r="AD157" s="122"/>
    </row>
    <row r="158">
      <c r="A158" s="109"/>
      <c r="B158" s="126"/>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c r="AD158" s="122"/>
    </row>
    <row r="159">
      <c r="A159" s="109"/>
      <c r="B159" s="126"/>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c r="AD159" s="122"/>
    </row>
    <row r="160">
      <c r="A160" s="109"/>
      <c r="B160" s="126"/>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row>
    <row r="161">
      <c r="A161" s="109"/>
      <c r="B161" s="126"/>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row>
    <row r="162">
      <c r="A162" s="109"/>
      <c r="B162" s="126"/>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c r="AD162" s="122"/>
    </row>
    <row r="163">
      <c r="A163" s="109"/>
      <c r="B163" s="126"/>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c r="AD163" s="122"/>
    </row>
    <row r="164">
      <c r="A164" s="109"/>
      <c r="B164" s="126"/>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c r="AD164" s="122"/>
    </row>
    <row r="165">
      <c r="A165" s="109"/>
      <c r="B165" s="126"/>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c r="AD165" s="122"/>
    </row>
    <row r="166">
      <c r="A166" s="109"/>
      <c r="B166" s="126"/>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2"/>
    </row>
    <row r="167">
      <c r="A167" s="109"/>
      <c r="B167" s="126"/>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c r="AD167" s="122"/>
    </row>
    <row r="168">
      <c r="A168" s="109"/>
      <c r="B168" s="126"/>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c r="AD168" s="122"/>
    </row>
    <row r="169">
      <c r="A169" s="109"/>
      <c r="B169" s="126"/>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c r="AD169" s="122"/>
    </row>
    <row r="170">
      <c r="A170" s="109"/>
      <c r="B170" s="126"/>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c r="AD170" s="122"/>
    </row>
    <row r="171">
      <c r="A171" s="109"/>
      <c r="B171" s="126"/>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c r="AD171" s="122"/>
    </row>
    <row r="172">
      <c r="A172" s="109"/>
      <c r="B172" s="126"/>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c r="AD172" s="122"/>
    </row>
    <row r="173">
      <c r="A173" s="109"/>
      <c r="B173" s="126"/>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c r="AD173" s="122"/>
    </row>
    <row r="174">
      <c r="A174" s="109"/>
      <c r="B174" s="126"/>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c r="AD174" s="122"/>
    </row>
    <row r="175">
      <c r="A175" s="109"/>
      <c r="B175" s="126"/>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c r="AD175" s="122"/>
    </row>
    <row r="176">
      <c r="A176" s="109"/>
      <c r="B176" s="126"/>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c r="AD176" s="122"/>
    </row>
    <row r="177">
      <c r="A177" s="109"/>
      <c r="B177" s="126"/>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row>
    <row r="178">
      <c r="A178" s="109"/>
      <c r="B178" s="126"/>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c r="AD178" s="122"/>
    </row>
    <row r="179">
      <c r="A179" s="109"/>
      <c r="B179" s="126"/>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row>
    <row r="180">
      <c r="A180" s="109"/>
      <c r="B180" s="126"/>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row>
    <row r="181">
      <c r="A181" s="109"/>
      <c r="B181" s="126"/>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row>
    <row r="182">
      <c r="A182" s="109"/>
      <c r="B182" s="126"/>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row>
    <row r="183">
      <c r="A183" s="109"/>
      <c r="B183" s="126"/>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row>
    <row r="184">
      <c r="A184" s="109"/>
      <c r="B184" s="126"/>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row>
    <row r="185">
      <c r="A185" s="109"/>
      <c r="B185" s="126"/>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row>
    <row r="186">
      <c r="A186" s="109"/>
      <c r="B186" s="126"/>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row>
    <row r="187">
      <c r="A187" s="109"/>
      <c r="B187" s="126"/>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c r="AD187" s="122"/>
    </row>
    <row r="188">
      <c r="A188" s="109"/>
      <c r="B188" s="126"/>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c r="AD188" s="122"/>
    </row>
    <row r="189">
      <c r="A189" s="109"/>
      <c r="B189" s="126"/>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c r="AD189" s="122"/>
    </row>
    <row r="190">
      <c r="A190" s="109"/>
      <c r="B190" s="126"/>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c r="AD190" s="122"/>
    </row>
    <row r="191">
      <c r="A191" s="109"/>
      <c r="B191" s="126"/>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row>
    <row r="192">
      <c r="A192" s="109"/>
      <c r="B192" s="126"/>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c r="AD192" s="122"/>
    </row>
    <row r="193">
      <c r="A193" s="109"/>
      <c r="B193" s="126"/>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c r="AD193" s="122"/>
    </row>
    <row r="194">
      <c r="A194" s="109"/>
      <c r="B194" s="126"/>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c r="AD194" s="122"/>
    </row>
    <row r="195">
      <c r="A195" s="109"/>
      <c r="B195" s="126"/>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row>
    <row r="196">
      <c r="A196" s="109"/>
      <c r="B196" s="126"/>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row>
    <row r="197">
      <c r="A197" s="109"/>
      <c r="B197" s="126"/>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row>
    <row r="198">
      <c r="A198" s="109"/>
      <c r="B198" s="126"/>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c r="AD198" s="122"/>
    </row>
    <row r="199">
      <c r="A199" s="109"/>
      <c r="B199" s="126"/>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c r="AD199" s="122"/>
    </row>
    <row r="200">
      <c r="A200" s="109"/>
      <c r="B200" s="126"/>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c r="AD200" s="122"/>
    </row>
    <row r="201">
      <c r="A201" s="109"/>
      <c r="B201" s="126"/>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c r="AD201" s="122"/>
    </row>
    <row r="202">
      <c r="A202" s="109"/>
      <c r="B202" s="126"/>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c r="AD202" s="122"/>
    </row>
    <row r="203">
      <c r="A203" s="109"/>
      <c r="B203" s="126"/>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c r="AD203" s="122"/>
    </row>
    <row r="204">
      <c r="A204" s="109"/>
      <c r="B204" s="126"/>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row>
    <row r="205">
      <c r="A205" s="109"/>
      <c r="B205" s="126"/>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c r="AD205" s="122"/>
    </row>
    <row r="206">
      <c r="A206" s="109"/>
      <c r="B206" s="126"/>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c r="AD206" s="122"/>
    </row>
    <row r="207">
      <c r="A207" s="109"/>
      <c r="B207" s="126"/>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c r="AD207" s="122"/>
    </row>
    <row r="208">
      <c r="A208" s="109"/>
      <c r="B208" s="126"/>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c r="AD208" s="122"/>
    </row>
    <row r="209">
      <c r="A209" s="109"/>
      <c r="B209" s="126"/>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row>
    <row r="210">
      <c r="A210" s="109"/>
      <c r="B210" s="126"/>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row>
    <row r="211">
      <c r="A211" s="109"/>
      <c r="B211" s="126"/>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c r="AD211" s="122"/>
    </row>
    <row r="212">
      <c r="A212" s="109"/>
      <c r="B212" s="126"/>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row>
    <row r="213">
      <c r="A213" s="109"/>
      <c r="B213" s="126"/>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c r="AD213" s="122"/>
    </row>
    <row r="214">
      <c r="A214" s="109"/>
      <c r="B214" s="126"/>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row>
    <row r="215">
      <c r="A215" s="109"/>
      <c r="B215" s="126"/>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row>
    <row r="216">
      <c r="A216" s="109"/>
      <c r="B216" s="126"/>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row>
    <row r="217">
      <c r="A217" s="109"/>
      <c r="B217" s="126"/>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2"/>
    </row>
    <row r="218">
      <c r="A218" s="109"/>
      <c r="B218" s="126"/>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c r="AD218" s="122"/>
    </row>
    <row r="219">
      <c r="A219" s="109"/>
      <c r="B219" s="126"/>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c r="AD219" s="122"/>
    </row>
    <row r="220">
      <c r="A220" s="109"/>
      <c r="B220" s="126"/>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c r="AD220" s="122"/>
    </row>
    <row r="221">
      <c r="A221" s="109"/>
      <c r="B221" s="126"/>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c r="AD221" s="122"/>
    </row>
    <row r="222">
      <c r="A222" s="109"/>
      <c r="B222" s="126"/>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row>
    <row r="223">
      <c r="A223" s="109"/>
      <c r="B223" s="126"/>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c r="AD223" s="122"/>
    </row>
    <row r="224">
      <c r="A224" s="109"/>
      <c r="B224" s="126"/>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c r="AD224" s="122"/>
    </row>
    <row r="225">
      <c r="A225" s="109"/>
      <c r="B225" s="126"/>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c r="AD225" s="122"/>
    </row>
    <row r="226">
      <c r="A226" s="109"/>
      <c r="B226" s="126"/>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c r="AD226" s="122"/>
    </row>
    <row r="227">
      <c r="A227" s="109"/>
      <c r="B227" s="126"/>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2"/>
    </row>
    <row r="228">
      <c r="A228" s="109"/>
      <c r="B228" s="126"/>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row>
    <row r="229">
      <c r="A229" s="109"/>
      <c r="B229" s="126"/>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c r="AD229" s="122"/>
    </row>
    <row r="230">
      <c r="A230" s="109"/>
      <c r="B230" s="126"/>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c r="AD230" s="122"/>
    </row>
    <row r="231">
      <c r="A231" s="109"/>
      <c r="B231" s="126"/>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c r="AD231" s="122"/>
    </row>
    <row r="232">
      <c r="A232" s="109"/>
      <c r="B232" s="126"/>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c r="AD232" s="122"/>
    </row>
    <row r="233">
      <c r="A233" s="109"/>
      <c r="B233" s="126"/>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c r="AD233" s="122"/>
    </row>
    <row r="234">
      <c r="A234" s="109"/>
      <c r="B234" s="126"/>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c r="AD234" s="122"/>
    </row>
    <row r="235">
      <c r="A235" s="109"/>
      <c r="B235" s="126"/>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c r="AD235" s="122"/>
    </row>
    <row r="236">
      <c r="A236" s="109"/>
      <c r="B236" s="126"/>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c r="AD236" s="122"/>
    </row>
    <row r="237">
      <c r="A237" s="109"/>
      <c r="B237" s="126"/>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c r="AD237" s="122"/>
    </row>
    <row r="238">
      <c r="A238" s="109"/>
      <c r="B238" s="126"/>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c r="AD238" s="122"/>
    </row>
    <row r="239">
      <c r="A239" s="109"/>
      <c r="B239" s="126"/>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c r="AD239" s="122"/>
    </row>
    <row r="240">
      <c r="A240" s="109"/>
      <c r="B240" s="126"/>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c r="AD240" s="122"/>
    </row>
    <row r="241">
      <c r="A241" s="109"/>
      <c r="B241" s="126"/>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c r="AD241" s="122"/>
    </row>
    <row r="242">
      <c r="A242" s="109"/>
      <c r="B242" s="126"/>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c r="AD242" s="122"/>
    </row>
    <row r="243">
      <c r="A243" s="109"/>
      <c r="B243" s="126"/>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c r="AD243" s="122"/>
    </row>
    <row r="244">
      <c r="A244" s="109"/>
      <c r="B244" s="126"/>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c r="AD244" s="122"/>
    </row>
    <row r="245">
      <c r="A245" s="109"/>
      <c r="B245" s="126"/>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c r="AD245" s="122"/>
    </row>
    <row r="246">
      <c r="A246" s="109"/>
      <c r="B246" s="126"/>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c r="AD246" s="122"/>
    </row>
    <row r="247">
      <c r="A247" s="109"/>
      <c r="B247" s="126"/>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c r="AD247" s="122"/>
    </row>
    <row r="248">
      <c r="A248" s="109"/>
      <c r="B248" s="126"/>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c r="AD248" s="122"/>
    </row>
    <row r="249">
      <c r="A249" s="109"/>
      <c r="B249" s="126"/>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c r="AD249" s="122"/>
    </row>
    <row r="250">
      <c r="A250" s="109"/>
      <c r="B250" s="126"/>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c r="AD250" s="122"/>
    </row>
    <row r="251">
      <c r="A251" s="109"/>
      <c r="B251" s="126"/>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c r="AD251" s="122"/>
    </row>
    <row r="252">
      <c r="A252" s="109"/>
      <c r="B252" s="126"/>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c r="AD252" s="122"/>
    </row>
    <row r="253">
      <c r="A253" s="109"/>
      <c r="B253" s="126"/>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c r="AD253" s="122"/>
    </row>
    <row r="254">
      <c r="A254" s="109"/>
      <c r="B254" s="126"/>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c r="AD254" s="122"/>
    </row>
    <row r="255">
      <c r="A255" s="109"/>
      <c r="B255" s="126"/>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c r="AD255" s="122"/>
    </row>
    <row r="256">
      <c r="A256" s="109"/>
      <c r="B256" s="126"/>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c r="AD256" s="122"/>
    </row>
    <row r="257">
      <c r="A257" s="109"/>
      <c r="B257" s="126"/>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c r="AD257" s="122"/>
    </row>
    <row r="258">
      <c r="A258" s="109"/>
      <c r="B258" s="126"/>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c r="AD258" s="122"/>
    </row>
    <row r="259">
      <c r="A259" s="109"/>
      <c r="B259" s="126"/>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c r="AD259" s="122"/>
    </row>
    <row r="260">
      <c r="A260" s="109"/>
      <c r="B260" s="126"/>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c r="AD260" s="122"/>
    </row>
    <row r="261">
      <c r="A261" s="109"/>
      <c r="B261" s="126"/>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c r="AD261" s="122"/>
    </row>
    <row r="262">
      <c r="A262" s="109"/>
      <c r="B262" s="126"/>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c r="AD262" s="122"/>
    </row>
    <row r="263">
      <c r="A263" s="109"/>
      <c r="B263" s="126"/>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c r="AD263" s="122"/>
    </row>
    <row r="264">
      <c r="A264" s="109"/>
      <c r="B264" s="126"/>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c r="AD264" s="122"/>
    </row>
    <row r="265">
      <c r="A265" s="109"/>
      <c r="B265" s="126"/>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c r="AD265" s="122"/>
    </row>
    <row r="266">
      <c r="A266" s="109"/>
      <c r="B266" s="126"/>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c r="AD266" s="122"/>
    </row>
    <row r="267">
      <c r="A267" s="109"/>
      <c r="B267" s="126"/>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2"/>
    </row>
    <row r="268">
      <c r="A268" s="109"/>
      <c r="B268" s="126"/>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c r="AD268" s="122"/>
    </row>
    <row r="269">
      <c r="A269" s="109"/>
      <c r="B269" s="126"/>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c r="AD269" s="122"/>
    </row>
    <row r="270">
      <c r="A270" s="109"/>
      <c r="B270" s="126"/>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c r="AD270" s="122"/>
    </row>
    <row r="271">
      <c r="A271" s="109"/>
      <c r="B271" s="126"/>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c r="AD271" s="122"/>
    </row>
    <row r="272">
      <c r="A272" s="109"/>
      <c r="B272" s="126"/>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c r="AD272" s="122"/>
    </row>
    <row r="273">
      <c r="A273" s="109"/>
      <c r="B273" s="126"/>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c r="AD273" s="122"/>
    </row>
    <row r="274">
      <c r="A274" s="109"/>
      <c r="B274" s="126"/>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2"/>
    </row>
    <row r="275">
      <c r="A275" s="109"/>
      <c r="B275" s="126"/>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c r="AD275" s="122"/>
    </row>
    <row r="276">
      <c r="A276" s="109"/>
      <c r="B276" s="126"/>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c r="AD276" s="122"/>
    </row>
    <row r="277">
      <c r="A277" s="109"/>
      <c r="B277" s="126"/>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c r="AD277" s="122"/>
    </row>
    <row r="278">
      <c r="A278" s="109"/>
      <c r="B278" s="126"/>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c r="AD278" s="122"/>
    </row>
    <row r="279">
      <c r="A279" s="109"/>
      <c r="B279" s="126"/>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c r="AD279" s="122"/>
    </row>
    <row r="280">
      <c r="A280" s="109"/>
      <c r="B280" s="126"/>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c r="AD280" s="122"/>
    </row>
    <row r="281">
      <c r="A281" s="109"/>
      <c r="B281" s="126"/>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c r="AD281" s="122"/>
    </row>
    <row r="282">
      <c r="A282" s="109"/>
      <c r="B282" s="126"/>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c r="AD282" s="122"/>
    </row>
    <row r="283">
      <c r="A283" s="109"/>
      <c r="B283" s="126"/>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c r="AD283" s="122"/>
    </row>
    <row r="284">
      <c r="A284" s="109"/>
      <c r="B284" s="126"/>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c r="AD284" s="122"/>
    </row>
    <row r="285">
      <c r="A285" s="109"/>
      <c r="B285" s="126"/>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c r="AD285" s="122"/>
    </row>
    <row r="286">
      <c r="A286" s="109"/>
      <c r="B286" s="126"/>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c r="AD286" s="122"/>
    </row>
    <row r="287">
      <c r="A287" s="109"/>
      <c r="B287" s="126"/>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c r="AD287" s="122"/>
    </row>
    <row r="288">
      <c r="A288" s="109"/>
      <c r="B288" s="126"/>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2"/>
    </row>
    <row r="289">
      <c r="A289" s="109"/>
      <c r="B289" s="126"/>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c r="AD289" s="122"/>
    </row>
    <row r="290">
      <c r="A290" s="109"/>
      <c r="B290" s="126"/>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c r="AD290" s="122"/>
    </row>
    <row r="291">
      <c r="A291" s="109"/>
      <c r="B291" s="126"/>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c r="AD291" s="122"/>
    </row>
    <row r="292">
      <c r="A292" s="109"/>
      <c r="B292" s="126"/>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2"/>
    </row>
    <row r="293">
      <c r="A293" s="109"/>
      <c r="B293" s="126"/>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row>
    <row r="294">
      <c r="A294" s="109"/>
      <c r="B294" s="126"/>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2"/>
    </row>
    <row r="295">
      <c r="A295" s="109"/>
      <c r="B295" s="126"/>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c r="AD295" s="122"/>
    </row>
    <row r="296">
      <c r="A296" s="109"/>
      <c r="B296" s="126"/>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c r="AD296" s="122"/>
    </row>
    <row r="297">
      <c r="A297" s="109"/>
      <c r="B297" s="126"/>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c r="AD297" s="122"/>
    </row>
    <row r="298">
      <c r="A298" s="109"/>
      <c r="B298" s="126"/>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c r="AD298" s="122"/>
    </row>
    <row r="299">
      <c r="A299" s="109"/>
      <c r="B299" s="126"/>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c r="AD299" s="122"/>
    </row>
    <row r="300">
      <c r="A300" s="109"/>
      <c r="B300" s="126"/>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c r="AD300" s="122"/>
    </row>
    <row r="301">
      <c r="A301" s="109"/>
      <c r="B301" s="126"/>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c r="AD301" s="122"/>
    </row>
    <row r="302">
      <c r="A302" s="109"/>
      <c r="B302" s="126"/>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c r="AD302" s="122"/>
    </row>
    <row r="303">
      <c r="A303" s="109"/>
      <c r="B303" s="126"/>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c r="AD303" s="122"/>
    </row>
    <row r="304">
      <c r="A304" s="109"/>
      <c r="B304" s="126"/>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c r="AD304" s="122"/>
    </row>
    <row r="305">
      <c r="A305" s="109"/>
      <c r="B305" s="126"/>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c r="AD305" s="122"/>
    </row>
    <row r="306">
      <c r="A306" s="109"/>
      <c r="B306" s="126"/>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c r="AD306" s="122"/>
    </row>
    <row r="307">
      <c r="A307" s="109"/>
      <c r="B307" s="126"/>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c r="AD307" s="122"/>
    </row>
    <row r="308">
      <c r="A308" s="109"/>
      <c r="B308" s="126"/>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c r="AD308" s="122"/>
    </row>
    <row r="309">
      <c r="A309" s="109"/>
      <c r="B309" s="126"/>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c r="AD309" s="122"/>
    </row>
    <row r="310">
      <c r="A310" s="109"/>
      <c r="B310" s="126"/>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c r="AD310" s="122"/>
    </row>
    <row r="311">
      <c r="A311" s="109"/>
      <c r="B311" s="126"/>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c r="AD311" s="122"/>
    </row>
    <row r="312">
      <c r="A312" s="109"/>
      <c r="B312" s="126"/>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c r="AD312" s="122"/>
    </row>
    <row r="313">
      <c r="A313" s="109"/>
      <c r="B313" s="126"/>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c r="AD313" s="122"/>
    </row>
    <row r="314">
      <c r="A314" s="109"/>
      <c r="B314" s="126"/>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c r="AD314" s="122"/>
    </row>
    <row r="315">
      <c r="A315" s="109"/>
      <c r="B315" s="126"/>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c r="AD315" s="122"/>
    </row>
    <row r="316">
      <c r="A316" s="109"/>
      <c r="B316" s="126"/>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c r="AD316" s="122"/>
    </row>
    <row r="317">
      <c r="A317" s="109"/>
      <c r="B317" s="126"/>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c r="AD317" s="122"/>
    </row>
    <row r="318">
      <c r="A318" s="109"/>
      <c r="B318" s="126"/>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c r="AD318" s="122"/>
    </row>
    <row r="319">
      <c r="A319" s="109"/>
      <c r="B319" s="126"/>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c r="AD319" s="122"/>
    </row>
    <row r="320">
      <c r="A320" s="109"/>
      <c r="B320" s="126"/>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c r="AD320" s="122"/>
    </row>
    <row r="321">
      <c r="A321" s="109"/>
      <c r="B321" s="126"/>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c r="AD321" s="122"/>
    </row>
    <row r="322">
      <c r="A322" s="109"/>
      <c r="B322" s="126"/>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c r="AD322" s="122"/>
    </row>
    <row r="323">
      <c r="A323" s="109"/>
      <c r="B323" s="126"/>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c r="AD323" s="122"/>
    </row>
    <row r="324">
      <c r="A324" s="109"/>
      <c r="B324" s="126"/>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c r="AD324" s="122"/>
    </row>
    <row r="325">
      <c r="A325" s="109"/>
      <c r="B325" s="126"/>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c r="AD325" s="122"/>
    </row>
    <row r="326">
      <c r="A326" s="109"/>
      <c r="B326" s="126"/>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c r="AD326" s="122"/>
    </row>
    <row r="327">
      <c r="A327" s="109"/>
      <c r="B327" s="126"/>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c r="AD327" s="122"/>
    </row>
    <row r="328">
      <c r="A328" s="109"/>
      <c r="B328" s="126"/>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c r="AD328" s="122"/>
    </row>
    <row r="329">
      <c r="A329" s="109"/>
      <c r="B329" s="126"/>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c r="AD329" s="122"/>
    </row>
    <row r="330">
      <c r="A330" s="109"/>
      <c r="B330" s="126"/>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c r="AD330" s="122"/>
    </row>
    <row r="331">
      <c r="A331" s="109"/>
      <c r="B331" s="126"/>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c r="AD331" s="122"/>
    </row>
    <row r="332">
      <c r="A332" s="109"/>
      <c r="B332" s="126"/>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c r="AD332" s="122"/>
    </row>
    <row r="333">
      <c r="A333" s="109"/>
      <c r="B333" s="126"/>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c r="AD333" s="122"/>
    </row>
    <row r="334">
      <c r="A334" s="109"/>
      <c r="B334" s="126"/>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c r="AD334" s="122"/>
    </row>
    <row r="335">
      <c r="A335" s="109"/>
      <c r="B335" s="126"/>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c r="AD335" s="122"/>
    </row>
    <row r="336">
      <c r="A336" s="109"/>
      <c r="B336" s="126"/>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c r="AD336" s="122"/>
    </row>
    <row r="337">
      <c r="A337" s="109"/>
      <c r="B337" s="126"/>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c r="AD337" s="122"/>
    </row>
    <row r="338">
      <c r="A338" s="109"/>
      <c r="B338" s="126"/>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c r="AD338" s="122"/>
    </row>
    <row r="339">
      <c r="A339" s="109"/>
      <c r="B339" s="126"/>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c r="AD339" s="122"/>
    </row>
    <row r="340">
      <c r="A340" s="109"/>
      <c r="B340" s="126"/>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c r="AD340" s="122"/>
    </row>
    <row r="341">
      <c r="A341" s="109"/>
      <c r="B341" s="126"/>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c r="AD341" s="122"/>
    </row>
    <row r="342">
      <c r="A342" s="109"/>
      <c r="B342" s="126"/>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c r="AD342" s="122"/>
    </row>
    <row r="343">
      <c r="A343" s="109"/>
      <c r="B343" s="126"/>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c r="AD343" s="122"/>
    </row>
    <row r="344">
      <c r="A344" s="109"/>
      <c r="B344" s="126"/>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c r="AD344" s="122"/>
    </row>
    <row r="345">
      <c r="A345" s="109"/>
      <c r="B345" s="126"/>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c r="AD345" s="122"/>
    </row>
    <row r="346">
      <c r="A346" s="109"/>
      <c r="B346" s="126"/>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c r="AD346" s="122"/>
    </row>
    <row r="347">
      <c r="A347" s="109"/>
      <c r="B347" s="126"/>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c r="AD347" s="122"/>
    </row>
    <row r="348">
      <c r="A348" s="109"/>
      <c r="B348" s="126"/>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c r="AD348" s="122"/>
    </row>
    <row r="349">
      <c r="A349" s="109"/>
      <c r="B349" s="126"/>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c r="AD349" s="122"/>
    </row>
    <row r="350">
      <c r="A350" s="109"/>
      <c r="B350" s="126"/>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c r="AD350" s="122"/>
    </row>
    <row r="351">
      <c r="A351" s="109"/>
      <c r="B351" s="126"/>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c r="AD351" s="122"/>
    </row>
    <row r="352">
      <c r="A352" s="109"/>
      <c r="B352" s="126"/>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c r="AD352" s="122"/>
    </row>
    <row r="353">
      <c r="A353" s="109"/>
      <c r="B353" s="126"/>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c r="AD353" s="122"/>
    </row>
    <row r="354">
      <c r="A354" s="109"/>
      <c r="B354" s="126"/>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c r="AD354" s="122"/>
    </row>
    <row r="355">
      <c r="A355" s="109"/>
      <c r="B355" s="126"/>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c r="AD355" s="122"/>
    </row>
    <row r="356">
      <c r="A356" s="109"/>
      <c r="B356" s="126"/>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c r="AD356" s="122"/>
    </row>
    <row r="357">
      <c r="A357" s="109"/>
      <c r="B357" s="126"/>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c r="AD357" s="122"/>
    </row>
    <row r="358">
      <c r="A358" s="109"/>
      <c r="B358" s="126"/>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c r="AD358" s="122"/>
    </row>
    <row r="359">
      <c r="A359" s="109"/>
      <c r="B359" s="126"/>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c r="AD359" s="122"/>
    </row>
    <row r="360">
      <c r="A360" s="109"/>
      <c r="B360" s="126"/>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c r="AD360" s="122"/>
    </row>
    <row r="361">
      <c r="A361" s="109"/>
      <c r="B361" s="126"/>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c r="AD361" s="122"/>
    </row>
    <row r="362">
      <c r="A362" s="109"/>
      <c r="B362" s="126"/>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c r="AD362" s="122"/>
    </row>
    <row r="363">
      <c r="A363" s="109"/>
      <c r="B363" s="126"/>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c r="AD363" s="122"/>
    </row>
    <row r="364">
      <c r="A364" s="109"/>
      <c r="B364" s="126"/>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2"/>
    </row>
    <row r="365">
      <c r="A365" s="109"/>
      <c r="B365" s="126"/>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c r="AD365" s="122"/>
    </row>
    <row r="366">
      <c r="A366" s="109"/>
      <c r="B366" s="126"/>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c r="AD366" s="122"/>
    </row>
    <row r="367">
      <c r="A367" s="109"/>
      <c r="B367" s="126"/>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c r="AD367" s="122"/>
    </row>
    <row r="368">
      <c r="A368" s="109"/>
      <c r="B368" s="126"/>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c r="AD368" s="122"/>
    </row>
    <row r="369">
      <c r="A369" s="109"/>
      <c r="B369" s="126"/>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2"/>
    </row>
    <row r="370">
      <c r="A370" s="109"/>
      <c r="B370" s="126"/>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c r="AD370" s="122"/>
    </row>
    <row r="371">
      <c r="A371" s="109"/>
      <c r="B371" s="126"/>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c r="AD371" s="122"/>
    </row>
    <row r="372">
      <c r="A372" s="109"/>
      <c r="B372" s="126"/>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c r="AD372" s="122"/>
    </row>
    <row r="373">
      <c r="A373" s="109"/>
      <c r="B373" s="126"/>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c r="AD373" s="122"/>
    </row>
    <row r="374">
      <c r="A374" s="109"/>
      <c r="B374" s="126"/>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c r="AD374" s="122"/>
    </row>
    <row r="375">
      <c r="A375" s="109"/>
      <c r="B375" s="126"/>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c r="AD375" s="122"/>
    </row>
    <row r="376">
      <c r="A376" s="109"/>
      <c r="B376" s="126"/>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c r="AD376" s="122"/>
    </row>
    <row r="377">
      <c r="A377" s="109"/>
      <c r="B377" s="126"/>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c r="AD377" s="122"/>
    </row>
    <row r="378">
      <c r="A378" s="109"/>
      <c r="B378" s="126"/>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c r="AD378" s="122"/>
    </row>
    <row r="379">
      <c r="A379" s="109"/>
      <c r="B379" s="126"/>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c r="AD379" s="122"/>
    </row>
    <row r="380">
      <c r="A380" s="109"/>
      <c r="B380" s="126"/>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c r="AD380" s="122"/>
    </row>
    <row r="381">
      <c r="A381" s="109"/>
      <c r="B381" s="126"/>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c r="AD381" s="122"/>
    </row>
    <row r="382">
      <c r="A382" s="109"/>
      <c r="B382" s="126"/>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c r="AD382" s="122"/>
    </row>
    <row r="383">
      <c r="A383" s="109"/>
      <c r="B383" s="126"/>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c r="AD383" s="122"/>
    </row>
    <row r="384">
      <c r="A384" s="109"/>
      <c r="B384" s="126"/>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c r="AD384" s="122"/>
    </row>
    <row r="385">
      <c r="A385" s="109"/>
      <c r="B385" s="126"/>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c r="AD385" s="122"/>
    </row>
    <row r="386">
      <c r="A386" s="109"/>
      <c r="B386" s="126"/>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c r="AD386" s="122"/>
    </row>
    <row r="387">
      <c r="A387" s="109"/>
      <c r="B387" s="126"/>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c r="AD387" s="122"/>
    </row>
    <row r="388">
      <c r="A388" s="109"/>
      <c r="B388" s="126"/>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c r="AD388" s="122"/>
    </row>
    <row r="389">
      <c r="A389" s="109"/>
      <c r="B389" s="126"/>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c r="AD389" s="122"/>
    </row>
    <row r="390">
      <c r="A390" s="109"/>
      <c r="B390" s="126"/>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2"/>
    </row>
    <row r="391">
      <c r="A391" s="109"/>
      <c r="B391" s="126"/>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c r="AD391" s="122"/>
    </row>
    <row r="392">
      <c r="A392" s="109"/>
      <c r="B392" s="126"/>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c r="AD392" s="122"/>
    </row>
    <row r="393">
      <c r="A393" s="109"/>
      <c r="B393" s="126"/>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c r="AD393" s="122"/>
    </row>
    <row r="394">
      <c r="A394" s="109"/>
      <c r="B394" s="126"/>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c r="AD394" s="122"/>
    </row>
    <row r="395">
      <c r="A395" s="109"/>
      <c r="B395" s="126"/>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c r="AD395" s="122"/>
    </row>
    <row r="396">
      <c r="A396" s="109"/>
      <c r="B396" s="126"/>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c r="AD396" s="122"/>
    </row>
    <row r="397">
      <c r="A397" s="109"/>
      <c r="B397" s="126"/>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c r="AD397" s="122"/>
    </row>
    <row r="398">
      <c r="A398" s="109"/>
      <c r="B398" s="126"/>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c r="AD398" s="122"/>
    </row>
    <row r="399">
      <c r="A399" s="109"/>
      <c r="B399" s="126"/>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c r="AD399" s="122"/>
    </row>
    <row r="400">
      <c r="A400" s="109"/>
      <c r="B400" s="126"/>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c r="AD400" s="122"/>
    </row>
    <row r="401">
      <c r="A401" s="109"/>
      <c r="B401" s="126"/>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c r="AD401" s="122"/>
    </row>
    <row r="402">
      <c r="A402" s="109"/>
      <c r="B402" s="126"/>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c r="AD402" s="122"/>
    </row>
    <row r="403">
      <c r="A403" s="109"/>
      <c r="B403" s="126"/>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c r="AD403" s="122"/>
    </row>
    <row r="404">
      <c r="A404" s="109"/>
      <c r="B404" s="126"/>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c r="AD404" s="122"/>
    </row>
    <row r="405">
      <c r="A405" s="109"/>
      <c r="B405" s="126"/>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c r="AD405" s="122"/>
    </row>
    <row r="406">
      <c r="A406" s="109"/>
      <c r="B406" s="126"/>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c r="AD406" s="122"/>
    </row>
    <row r="407">
      <c r="A407" s="109"/>
      <c r="B407" s="126"/>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c r="AD407" s="122"/>
    </row>
    <row r="408">
      <c r="A408" s="109"/>
      <c r="B408" s="126"/>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c r="AD408" s="122"/>
    </row>
    <row r="409">
      <c r="A409" s="109"/>
      <c r="B409" s="126"/>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2"/>
    </row>
    <row r="410">
      <c r="A410" s="109"/>
      <c r="B410" s="126"/>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c r="AD410" s="122"/>
    </row>
    <row r="411">
      <c r="A411" s="109"/>
      <c r="B411" s="126"/>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c r="AD411" s="122"/>
    </row>
    <row r="412">
      <c r="A412" s="109"/>
      <c r="B412" s="126"/>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c r="AD412" s="122"/>
    </row>
    <row r="413">
      <c r="A413" s="109"/>
      <c r="B413" s="126"/>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c r="AD413" s="122"/>
    </row>
    <row r="414">
      <c r="A414" s="109"/>
      <c r="B414" s="126"/>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2"/>
    </row>
    <row r="415">
      <c r="A415" s="109"/>
      <c r="B415" s="126"/>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c r="AD415" s="122"/>
    </row>
    <row r="416">
      <c r="A416" s="109"/>
      <c r="B416" s="126"/>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c r="AD416" s="122"/>
    </row>
    <row r="417">
      <c r="A417" s="109"/>
      <c r="B417" s="126"/>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c r="AD417" s="122"/>
    </row>
    <row r="418">
      <c r="A418" s="109"/>
      <c r="B418" s="126"/>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c r="AD418" s="122"/>
    </row>
    <row r="419">
      <c r="A419" s="109"/>
      <c r="B419" s="126"/>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c r="AD419" s="122"/>
    </row>
    <row r="420">
      <c r="A420" s="109"/>
      <c r="B420" s="126"/>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c r="AD420" s="122"/>
    </row>
    <row r="421">
      <c r="A421" s="109"/>
      <c r="B421" s="126"/>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c r="AD421" s="122"/>
    </row>
    <row r="422">
      <c r="A422" s="109"/>
      <c r="B422" s="126"/>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c r="AD422" s="122"/>
    </row>
    <row r="423">
      <c r="A423" s="109"/>
      <c r="B423" s="126"/>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c r="AD423" s="122"/>
    </row>
    <row r="424">
      <c r="A424" s="109"/>
      <c r="B424" s="126"/>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c r="AD424" s="122"/>
    </row>
    <row r="425">
      <c r="A425" s="109"/>
      <c r="B425" s="126"/>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c r="AD425" s="122"/>
    </row>
    <row r="426">
      <c r="A426" s="109"/>
      <c r="B426" s="126"/>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c r="AD426" s="122"/>
    </row>
    <row r="427">
      <c r="A427" s="109"/>
      <c r="B427" s="126"/>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c r="AD427" s="122"/>
    </row>
    <row r="428">
      <c r="A428" s="109"/>
      <c r="B428" s="126"/>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c r="AD428" s="122"/>
    </row>
    <row r="429">
      <c r="A429" s="109"/>
      <c r="B429" s="126"/>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c r="AD429" s="122"/>
    </row>
    <row r="430">
      <c r="A430" s="109"/>
      <c r="B430" s="126"/>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c r="AD430" s="122"/>
    </row>
    <row r="431">
      <c r="A431" s="109"/>
      <c r="B431" s="126"/>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c r="AD431" s="122"/>
    </row>
    <row r="432">
      <c r="A432" s="109"/>
      <c r="B432" s="126"/>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c r="AD432" s="122"/>
    </row>
    <row r="433">
      <c r="A433" s="109"/>
      <c r="B433" s="126"/>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c r="AD433" s="122"/>
    </row>
    <row r="434">
      <c r="A434" s="109"/>
      <c r="B434" s="126"/>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2"/>
    </row>
    <row r="435">
      <c r="A435" s="109"/>
      <c r="B435" s="126"/>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c r="AD435" s="122"/>
    </row>
    <row r="436">
      <c r="A436" s="109"/>
      <c r="B436" s="126"/>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c r="AD436" s="122"/>
    </row>
    <row r="437">
      <c r="A437" s="109"/>
      <c r="B437" s="126"/>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c r="AD437" s="122"/>
    </row>
    <row r="438">
      <c r="A438" s="109"/>
      <c r="B438" s="126"/>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c r="AD438" s="122"/>
    </row>
    <row r="439">
      <c r="A439" s="109"/>
      <c r="B439" s="126"/>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c r="AD439" s="122"/>
    </row>
    <row r="440">
      <c r="A440" s="109"/>
      <c r="B440" s="126"/>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c r="AD440" s="122"/>
    </row>
    <row r="441">
      <c r="A441" s="109"/>
      <c r="B441" s="126"/>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c r="AD441" s="122"/>
    </row>
    <row r="442">
      <c r="A442" s="109"/>
      <c r="B442" s="126"/>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c r="AD442" s="122"/>
    </row>
    <row r="443">
      <c r="A443" s="109"/>
      <c r="B443" s="126"/>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c r="AD443" s="122"/>
    </row>
    <row r="444">
      <c r="A444" s="109"/>
      <c r="B444" s="126"/>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c r="AD444" s="122"/>
    </row>
    <row r="445">
      <c r="A445" s="109"/>
      <c r="B445" s="126"/>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c r="AD445" s="122"/>
    </row>
    <row r="446">
      <c r="A446" s="109"/>
      <c r="B446" s="126"/>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c r="AD446" s="122"/>
    </row>
    <row r="447">
      <c r="A447" s="109"/>
      <c r="B447" s="126"/>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c r="AD447" s="122"/>
    </row>
    <row r="448">
      <c r="A448" s="109"/>
      <c r="B448" s="126"/>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c r="AD448" s="122"/>
    </row>
    <row r="449">
      <c r="A449" s="109"/>
      <c r="B449" s="126"/>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c r="AD449" s="122"/>
    </row>
    <row r="450">
      <c r="A450" s="109"/>
      <c r="B450" s="126"/>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c r="AD450" s="122"/>
    </row>
    <row r="451">
      <c r="A451" s="109"/>
      <c r="B451" s="126"/>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c r="AD451" s="122"/>
    </row>
    <row r="452">
      <c r="A452" s="109"/>
      <c r="B452" s="126"/>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c r="AD452" s="122"/>
    </row>
    <row r="453">
      <c r="A453" s="109"/>
      <c r="B453" s="126"/>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c r="AD453" s="122"/>
    </row>
    <row r="454">
      <c r="A454" s="109"/>
      <c r="B454" s="126"/>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c r="AD454" s="122"/>
    </row>
    <row r="455">
      <c r="A455" s="109"/>
      <c r="B455" s="126"/>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c r="AD455" s="122"/>
    </row>
    <row r="456">
      <c r="A456" s="109"/>
      <c r="B456" s="126"/>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c r="AD456" s="122"/>
    </row>
    <row r="457">
      <c r="A457" s="109"/>
      <c r="B457" s="126"/>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c r="AD457" s="122"/>
    </row>
    <row r="458">
      <c r="A458" s="109"/>
      <c r="B458" s="126"/>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c r="AD458" s="122"/>
    </row>
    <row r="459">
      <c r="A459" s="109"/>
      <c r="B459" s="126"/>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c r="AD459" s="122"/>
    </row>
    <row r="460">
      <c r="A460" s="109"/>
      <c r="B460" s="126"/>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c r="AD460" s="122"/>
    </row>
    <row r="461">
      <c r="A461" s="109"/>
      <c r="B461" s="126"/>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c r="AD461" s="122"/>
    </row>
    <row r="462">
      <c r="A462" s="109"/>
      <c r="B462" s="126"/>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c r="AD462" s="122"/>
    </row>
    <row r="463">
      <c r="A463" s="109"/>
      <c r="B463" s="126"/>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c r="AD463" s="122"/>
    </row>
    <row r="464">
      <c r="A464" s="109"/>
      <c r="B464" s="126"/>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c r="AD464" s="122"/>
    </row>
    <row r="465">
      <c r="A465" s="109"/>
      <c r="B465" s="126"/>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c r="AD465" s="122"/>
    </row>
    <row r="466">
      <c r="A466" s="109"/>
      <c r="B466" s="126"/>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c r="AD466" s="122"/>
    </row>
    <row r="467">
      <c r="A467" s="109"/>
      <c r="B467" s="126"/>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2"/>
    </row>
    <row r="468">
      <c r="A468" s="109"/>
      <c r="B468" s="126"/>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c r="AD468" s="122"/>
    </row>
    <row r="469">
      <c r="A469" s="109"/>
      <c r="B469" s="126"/>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2"/>
    </row>
    <row r="470">
      <c r="A470" s="109"/>
      <c r="B470" s="126"/>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c r="AD470" s="122"/>
    </row>
    <row r="471">
      <c r="A471" s="109"/>
      <c r="B471" s="126"/>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c r="AD471" s="122"/>
    </row>
    <row r="472">
      <c r="A472" s="109"/>
      <c r="B472" s="126"/>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2"/>
    </row>
    <row r="473">
      <c r="A473" s="109"/>
      <c r="B473" s="126"/>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c r="AD473" s="122"/>
    </row>
    <row r="474">
      <c r="A474" s="109"/>
      <c r="B474" s="126"/>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2"/>
    </row>
    <row r="475">
      <c r="A475" s="109"/>
      <c r="B475" s="126"/>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c r="AD475" s="122"/>
    </row>
    <row r="476">
      <c r="A476" s="109"/>
      <c r="B476" s="126"/>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c r="AD476" s="122"/>
    </row>
    <row r="477">
      <c r="A477" s="109"/>
      <c r="B477" s="126"/>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2"/>
    </row>
    <row r="478">
      <c r="A478" s="109"/>
      <c r="B478" s="126"/>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c r="AD478" s="122"/>
    </row>
    <row r="479">
      <c r="A479" s="109"/>
      <c r="B479" s="126"/>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2"/>
    </row>
    <row r="480">
      <c r="A480" s="109"/>
      <c r="B480" s="126"/>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c r="AD480" s="122"/>
    </row>
    <row r="481">
      <c r="A481" s="109"/>
      <c r="B481" s="126"/>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c r="AD481" s="122"/>
    </row>
    <row r="482">
      <c r="A482" s="109"/>
      <c r="B482" s="126"/>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2"/>
    </row>
    <row r="483">
      <c r="A483" s="109"/>
      <c r="B483" s="126"/>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c r="AD483" s="122"/>
    </row>
    <row r="484">
      <c r="A484" s="109"/>
      <c r="B484" s="126"/>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c r="AD484" s="122"/>
    </row>
    <row r="485">
      <c r="A485" s="109"/>
      <c r="B485" s="126"/>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c r="AD485" s="122"/>
    </row>
    <row r="486">
      <c r="A486" s="109"/>
      <c r="B486" s="126"/>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row>
    <row r="487">
      <c r="A487" s="109"/>
      <c r="B487" s="126"/>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2"/>
    </row>
    <row r="488">
      <c r="A488" s="109"/>
      <c r="B488" s="126"/>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c r="AD488" s="122"/>
    </row>
    <row r="489">
      <c r="A489" s="109"/>
      <c r="B489" s="126"/>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c r="AD489" s="122"/>
    </row>
    <row r="490">
      <c r="A490" s="109"/>
      <c r="B490" s="126"/>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c r="AD490" s="122"/>
    </row>
    <row r="491">
      <c r="A491" s="109"/>
      <c r="B491" s="126"/>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c r="AD491" s="122"/>
    </row>
    <row r="492">
      <c r="A492" s="109"/>
      <c r="B492" s="126"/>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2"/>
    </row>
    <row r="493">
      <c r="A493" s="109"/>
      <c r="B493" s="126"/>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c r="AD493" s="122"/>
    </row>
    <row r="494">
      <c r="A494" s="109"/>
      <c r="B494" s="126"/>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c r="AD494" s="122"/>
    </row>
    <row r="495">
      <c r="A495" s="109"/>
      <c r="B495" s="126"/>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c r="AD495" s="122"/>
    </row>
    <row r="496">
      <c r="A496" s="109"/>
      <c r="B496" s="126"/>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2"/>
    </row>
    <row r="497">
      <c r="A497" s="109"/>
      <c r="B497" s="126"/>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2"/>
    </row>
    <row r="498">
      <c r="A498" s="109"/>
      <c r="B498" s="126"/>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c r="AD498" s="122"/>
    </row>
    <row r="499">
      <c r="A499" s="109"/>
      <c r="B499" s="126"/>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c r="AD499" s="122"/>
    </row>
    <row r="500">
      <c r="A500" s="109"/>
      <c r="B500" s="126"/>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2"/>
    </row>
    <row r="501">
      <c r="A501" s="109"/>
      <c r="B501" s="126"/>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c r="AD501" s="122"/>
    </row>
    <row r="502">
      <c r="A502" s="109"/>
      <c r="B502" s="126"/>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2"/>
    </row>
    <row r="503">
      <c r="A503" s="109"/>
      <c r="B503" s="126"/>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c r="AD503" s="122"/>
    </row>
    <row r="504">
      <c r="A504" s="109"/>
      <c r="B504" s="126"/>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c r="AD504" s="122"/>
    </row>
    <row r="505">
      <c r="A505" s="109"/>
      <c r="B505" s="126"/>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c r="AD505" s="122"/>
    </row>
    <row r="506">
      <c r="A506" s="109"/>
      <c r="B506" s="126"/>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c r="AD506" s="122"/>
    </row>
    <row r="507">
      <c r="A507" s="109"/>
      <c r="B507" s="126"/>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2"/>
    </row>
    <row r="508">
      <c r="A508" s="109"/>
      <c r="B508" s="126"/>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c r="AD508" s="122"/>
    </row>
    <row r="509">
      <c r="A509" s="109"/>
      <c r="B509" s="126"/>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2"/>
    </row>
    <row r="510">
      <c r="A510" s="109"/>
      <c r="B510" s="126"/>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c r="AD510" s="122"/>
    </row>
    <row r="511">
      <c r="A511" s="109"/>
      <c r="B511" s="126"/>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c r="AD511" s="122"/>
    </row>
    <row r="512">
      <c r="A512" s="109"/>
      <c r="B512" s="126"/>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2"/>
    </row>
    <row r="513">
      <c r="A513" s="109"/>
      <c r="B513" s="126"/>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c r="AD513" s="122"/>
    </row>
    <row r="514">
      <c r="A514" s="109"/>
      <c r="B514" s="126"/>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c r="AD514" s="122"/>
    </row>
    <row r="515">
      <c r="A515" s="109"/>
      <c r="B515" s="126"/>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c r="AD515" s="122"/>
    </row>
    <row r="516">
      <c r="A516" s="109"/>
      <c r="B516" s="126"/>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c r="AD516" s="122"/>
    </row>
    <row r="517">
      <c r="A517" s="109"/>
      <c r="B517" s="126"/>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2"/>
    </row>
    <row r="518">
      <c r="A518" s="109"/>
      <c r="B518" s="126"/>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c r="AD518" s="122"/>
    </row>
    <row r="519">
      <c r="A519" s="109"/>
      <c r="B519" s="126"/>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c r="AD519" s="122"/>
    </row>
    <row r="520">
      <c r="A520" s="109"/>
      <c r="B520" s="126"/>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c r="AD520" s="122"/>
    </row>
    <row r="521">
      <c r="A521" s="109"/>
      <c r="B521" s="126"/>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c r="AD521" s="122"/>
    </row>
    <row r="522">
      <c r="A522" s="109"/>
      <c r="B522" s="126"/>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2"/>
    </row>
    <row r="523">
      <c r="A523" s="109"/>
      <c r="B523" s="126"/>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c r="AD523" s="122"/>
    </row>
    <row r="524">
      <c r="A524" s="109"/>
      <c r="B524" s="126"/>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c r="AD524" s="122"/>
    </row>
    <row r="525">
      <c r="A525" s="109"/>
      <c r="B525" s="126"/>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c r="AD525" s="122"/>
    </row>
    <row r="526">
      <c r="A526" s="109"/>
      <c r="B526" s="126"/>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c r="AD526" s="122"/>
    </row>
    <row r="527">
      <c r="A527" s="109"/>
      <c r="B527" s="126"/>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c r="AD527" s="122"/>
    </row>
    <row r="528">
      <c r="A528" s="109"/>
      <c r="B528" s="126"/>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c r="AD528" s="122"/>
    </row>
    <row r="529">
      <c r="A529" s="109"/>
      <c r="B529" s="126"/>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c r="AD529" s="122"/>
    </row>
    <row r="530">
      <c r="A530" s="109"/>
      <c r="B530" s="126"/>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c r="AD530" s="122"/>
    </row>
    <row r="531">
      <c r="A531" s="109"/>
      <c r="B531" s="126"/>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c r="AD531" s="122"/>
    </row>
    <row r="532">
      <c r="A532" s="109"/>
      <c r="B532" s="126"/>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c r="AD532" s="122"/>
    </row>
    <row r="533">
      <c r="A533" s="109"/>
      <c r="B533" s="126"/>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c r="AD533" s="122"/>
    </row>
    <row r="534">
      <c r="A534" s="109"/>
      <c r="B534" s="126"/>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c r="AD534" s="122"/>
    </row>
    <row r="535">
      <c r="A535" s="109"/>
      <c r="B535" s="126"/>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c r="AD535" s="122"/>
    </row>
    <row r="536">
      <c r="A536" s="109"/>
      <c r="B536" s="126"/>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c r="AD536" s="122"/>
    </row>
    <row r="537">
      <c r="A537" s="109"/>
      <c r="B537" s="126"/>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c r="AD537" s="122"/>
    </row>
    <row r="538">
      <c r="A538" s="109"/>
      <c r="B538" s="126"/>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c r="AD538" s="122"/>
    </row>
    <row r="539">
      <c r="A539" s="109"/>
      <c r="B539" s="126"/>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2"/>
    </row>
    <row r="540">
      <c r="A540" s="109"/>
      <c r="B540" s="126"/>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c r="AD540" s="122"/>
    </row>
    <row r="541">
      <c r="A541" s="109"/>
      <c r="B541" s="126"/>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2"/>
    </row>
    <row r="542">
      <c r="A542" s="109"/>
      <c r="B542" s="126"/>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c r="AD542" s="122"/>
    </row>
    <row r="543">
      <c r="A543" s="109"/>
      <c r="B543" s="126"/>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2"/>
    </row>
    <row r="544">
      <c r="A544" s="109"/>
      <c r="B544" s="126"/>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c r="AD544" s="122"/>
    </row>
    <row r="545">
      <c r="A545" s="109"/>
      <c r="B545" s="126"/>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c r="AD545" s="122"/>
    </row>
    <row r="546">
      <c r="A546" s="109"/>
      <c r="B546" s="126"/>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c r="AD546" s="122"/>
    </row>
    <row r="547">
      <c r="A547" s="109"/>
      <c r="B547" s="126"/>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c r="AD547" s="122"/>
    </row>
    <row r="548">
      <c r="A548" s="109"/>
      <c r="B548" s="126"/>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c r="AD548" s="122"/>
    </row>
    <row r="549">
      <c r="A549" s="109"/>
      <c r="B549" s="126"/>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c r="AD549" s="122"/>
    </row>
    <row r="550">
      <c r="A550" s="109"/>
      <c r="B550" s="126"/>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c r="AD550" s="122"/>
    </row>
    <row r="551">
      <c r="A551" s="109"/>
      <c r="B551" s="126"/>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c r="AD551" s="122"/>
    </row>
    <row r="552">
      <c r="A552" s="109"/>
      <c r="B552" s="126"/>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c r="AD552" s="122"/>
    </row>
    <row r="553">
      <c r="A553" s="109"/>
      <c r="B553" s="126"/>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c r="AD553" s="122"/>
    </row>
    <row r="554">
      <c r="A554" s="109"/>
      <c r="B554" s="126"/>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c r="AD554" s="122"/>
    </row>
    <row r="555">
      <c r="A555" s="109"/>
      <c r="B555" s="126"/>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c r="AD555" s="122"/>
    </row>
    <row r="556">
      <c r="A556" s="109"/>
      <c r="B556" s="126"/>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c r="AD556" s="122"/>
    </row>
    <row r="557">
      <c r="A557" s="109"/>
      <c r="B557" s="126"/>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c r="AD557" s="122"/>
    </row>
    <row r="558">
      <c r="A558" s="109"/>
      <c r="B558" s="126"/>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c r="AD558" s="122"/>
    </row>
    <row r="559">
      <c r="A559" s="109"/>
      <c r="B559" s="126"/>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c r="AD559" s="122"/>
    </row>
    <row r="560">
      <c r="A560" s="109"/>
      <c r="B560" s="126"/>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c r="AD560" s="122"/>
    </row>
    <row r="561">
      <c r="A561" s="109"/>
      <c r="B561" s="126"/>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c r="AD561" s="122"/>
    </row>
    <row r="562">
      <c r="A562" s="109"/>
      <c r="B562" s="126"/>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c r="AD562" s="122"/>
    </row>
    <row r="563">
      <c r="A563" s="109"/>
      <c r="B563" s="126"/>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c r="AD563" s="122"/>
    </row>
    <row r="564">
      <c r="A564" s="109"/>
      <c r="B564" s="126"/>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c r="AD564" s="122"/>
    </row>
    <row r="565">
      <c r="A565" s="109"/>
      <c r="B565" s="126"/>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c r="AD565" s="122"/>
    </row>
    <row r="566">
      <c r="A566" s="109"/>
      <c r="B566" s="126"/>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c r="AD566" s="122"/>
    </row>
    <row r="567">
      <c r="A567" s="109"/>
      <c r="B567" s="126"/>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c r="AD567" s="122"/>
    </row>
    <row r="568">
      <c r="A568" s="109"/>
      <c r="B568" s="126"/>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c r="AD568" s="122"/>
    </row>
    <row r="569">
      <c r="A569" s="109"/>
      <c r="B569" s="126"/>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c r="AD569" s="122"/>
    </row>
    <row r="570">
      <c r="A570" s="109"/>
      <c r="B570" s="126"/>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c r="AD570" s="122"/>
    </row>
    <row r="571">
      <c r="A571" s="109"/>
      <c r="B571" s="126"/>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c r="AD571" s="122"/>
    </row>
    <row r="572">
      <c r="A572" s="109"/>
      <c r="B572" s="126"/>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c r="AD572" s="122"/>
    </row>
    <row r="573">
      <c r="A573" s="109"/>
      <c r="B573" s="126"/>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c r="AD573" s="122"/>
    </row>
    <row r="574">
      <c r="A574" s="109"/>
      <c r="B574" s="126"/>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c r="AD574" s="122"/>
    </row>
    <row r="575">
      <c r="A575" s="109"/>
      <c r="B575" s="126"/>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2"/>
    </row>
    <row r="576">
      <c r="A576" s="109"/>
      <c r="B576" s="126"/>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c r="AD576" s="122"/>
    </row>
    <row r="577">
      <c r="A577" s="109"/>
      <c r="B577" s="126"/>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c r="AD577" s="122"/>
    </row>
    <row r="578">
      <c r="A578" s="109"/>
      <c r="B578" s="126"/>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c r="AD578" s="122"/>
    </row>
    <row r="579">
      <c r="A579" s="109"/>
      <c r="B579" s="126"/>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c r="AD579" s="122"/>
    </row>
    <row r="580">
      <c r="A580" s="109"/>
      <c r="B580" s="126"/>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c r="AD580" s="122"/>
    </row>
    <row r="581">
      <c r="A581" s="109"/>
      <c r="B581" s="126"/>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c r="AD581" s="122"/>
    </row>
    <row r="582">
      <c r="A582" s="109"/>
      <c r="B582" s="126"/>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c r="AD582" s="122"/>
    </row>
    <row r="583">
      <c r="A583" s="109"/>
      <c r="B583" s="126"/>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c r="AD583" s="122"/>
    </row>
    <row r="584">
      <c r="A584" s="109"/>
      <c r="B584" s="126"/>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c r="AD584" s="122"/>
    </row>
    <row r="585">
      <c r="A585" s="109"/>
      <c r="B585" s="126"/>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c r="AD585" s="122"/>
    </row>
    <row r="586">
      <c r="A586" s="109"/>
      <c r="B586" s="126"/>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c r="AD586" s="122"/>
    </row>
    <row r="587">
      <c r="A587" s="109"/>
      <c r="B587" s="126"/>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row>
    <row r="588">
      <c r="A588" s="109"/>
      <c r="B588" s="126"/>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row>
    <row r="589">
      <c r="A589" s="109"/>
      <c r="B589" s="126"/>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c r="AD589" s="122"/>
    </row>
    <row r="590">
      <c r="A590" s="109"/>
      <c r="B590" s="126"/>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c r="AD590" s="122"/>
    </row>
    <row r="591">
      <c r="A591" s="109"/>
      <c r="B591" s="126"/>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c r="AD591" s="122"/>
    </row>
    <row r="592">
      <c r="A592" s="109"/>
      <c r="B592" s="126"/>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c r="AD592" s="122"/>
    </row>
    <row r="593">
      <c r="A593" s="109"/>
      <c r="B593" s="126"/>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c r="AD593" s="122"/>
    </row>
    <row r="594">
      <c r="A594" s="109"/>
      <c r="B594" s="126"/>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2"/>
    </row>
    <row r="595">
      <c r="A595" s="109"/>
      <c r="B595" s="126"/>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c r="AD595" s="122"/>
    </row>
    <row r="596">
      <c r="A596" s="109"/>
      <c r="B596" s="126"/>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2"/>
    </row>
    <row r="597">
      <c r="A597" s="109"/>
      <c r="B597" s="126"/>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c r="AD597" s="122"/>
    </row>
    <row r="598">
      <c r="A598" s="109"/>
      <c r="B598" s="126"/>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c r="AD598" s="122"/>
    </row>
    <row r="599">
      <c r="A599" s="109"/>
      <c r="B599" s="126"/>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c r="AD599" s="122"/>
    </row>
    <row r="600">
      <c r="A600" s="109"/>
      <c r="B600" s="126"/>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c r="AD600" s="122"/>
    </row>
    <row r="601">
      <c r="A601" s="109"/>
      <c r="B601" s="126"/>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c r="AD601" s="122"/>
    </row>
    <row r="602">
      <c r="A602" s="109"/>
      <c r="B602" s="126"/>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row>
    <row r="603">
      <c r="A603" s="109"/>
      <c r="B603" s="126"/>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row>
    <row r="604">
      <c r="A604" s="109"/>
      <c r="B604" s="126"/>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c r="AD604" s="122"/>
    </row>
    <row r="605">
      <c r="A605" s="109"/>
      <c r="B605" s="126"/>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c r="AD605" s="122"/>
    </row>
    <row r="606">
      <c r="A606" s="109"/>
      <c r="B606" s="126"/>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c r="AD606" s="122"/>
    </row>
    <row r="607">
      <c r="A607" s="109"/>
      <c r="B607" s="126"/>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c r="AD607" s="122"/>
    </row>
    <row r="608">
      <c r="A608" s="109"/>
      <c r="B608" s="126"/>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c r="AD608" s="122"/>
    </row>
    <row r="609">
      <c r="A609" s="109"/>
      <c r="B609" s="126"/>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c r="AD609" s="122"/>
    </row>
    <row r="610">
      <c r="A610" s="109"/>
      <c r="B610" s="126"/>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c r="AD610" s="122"/>
    </row>
    <row r="611">
      <c r="A611" s="109"/>
      <c r="B611" s="126"/>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c r="AD611" s="122"/>
    </row>
    <row r="612">
      <c r="A612" s="109"/>
      <c r="B612" s="126"/>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c r="AD612" s="122"/>
    </row>
    <row r="613">
      <c r="A613" s="109"/>
      <c r="B613" s="126"/>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c r="AD613" s="122"/>
    </row>
    <row r="614">
      <c r="A614" s="109"/>
      <c r="B614" s="126"/>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c r="AD614" s="122"/>
    </row>
    <row r="615">
      <c r="A615" s="109"/>
      <c r="B615" s="126"/>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c r="AD615" s="122"/>
    </row>
    <row r="616">
      <c r="A616" s="109"/>
      <c r="B616" s="126"/>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c r="AD616" s="122"/>
    </row>
    <row r="617">
      <c r="A617" s="109"/>
      <c r="B617" s="126"/>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row>
    <row r="618">
      <c r="A618" s="109"/>
      <c r="B618" s="126"/>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c r="AD618" s="122"/>
    </row>
    <row r="619">
      <c r="A619" s="109"/>
      <c r="B619" s="126"/>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c r="AD619" s="122"/>
    </row>
    <row r="620">
      <c r="A620" s="109"/>
      <c r="B620" s="126"/>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c r="AD620" s="122"/>
    </row>
    <row r="621">
      <c r="A621" s="109"/>
      <c r="B621" s="126"/>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c r="AD621" s="122"/>
    </row>
    <row r="622">
      <c r="A622" s="109"/>
      <c r="B622" s="126"/>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c r="AD622" s="122"/>
    </row>
    <row r="623">
      <c r="A623" s="109"/>
      <c r="B623" s="126"/>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c r="AD623" s="122"/>
    </row>
    <row r="624">
      <c r="A624" s="109"/>
      <c r="B624" s="126"/>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c r="AD624" s="122"/>
    </row>
    <row r="625">
      <c r="A625" s="109"/>
      <c r="B625" s="126"/>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c r="AD625" s="122"/>
    </row>
    <row r="626">
      <c r="A626" s="109"/>
      <c r="B626" s="126"/>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c r="AD626" s="122"/>
    </row>
    <row r="627">
      <c r="A627" s="109"/>
      <c r="B627" s="126"/>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c r="AD627" s="122"/>
    </row>
    <row r="628">
      <c r="A628" s="109"/>
      <c r="B628" s="126"/>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c r="AD628" s="122"/>
    </row>
    <row r="629">
      <c r="A629" s="109"/>
      <c r="B629" s="126"/>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c r="AD629" s="122"/>
    </row>
    <row r="630">
      <c r="A630" s="109"/>
      <c r="B630" s="126"/>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c r="AD630" s="122"/>
    </row>
    <row r="631">
      <c r="A631" s="109"/>
      <c r="B631" s="126"/>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c r="AD631" s="122"/>
    </row>
    <row r="632">
      <c r="A632" s="109"/>
      <c r="B632" s="126"/>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c r="AD632" s="122"/>
    </row>
    <row r="633">
      <c r="A633" s="109"/>
      <c r="B633" s="126"/>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c r="AD633" s="122"/>
    </row>
    <row r="634">
      <c r="A634" s="109"/>
      <c r="B634" s="126"/>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c r="AD634" s="122"/>
    </row>
    <row r="635">
      <c r="A635" s="109"/>
      <c r="B635" s="126"/>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c r="AD635" s="122"/>
    </row>
    <row r="636">
      <c r="A636" s="109"/>
      <c r="B636" s="126"/>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c r="AD636" s="122"/>
    </row>
    <row r="637">
      <c r="A637" s="109"/>
      <c r="B637" s="126"/>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c r="AD637" s="122"/>
    </row>
    <row r="638">
      <c r="A638" s="109"/>
      <c r="B638" s="126"/>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c r="AD638" s="122"/>
    </row>
    <row r="639">
      <c r="A639" s="109"/>
      <c r="B639" s="126"/>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c r="AD639" s="122"/>
    </row>
    <row r="640">
      <c r="A640" s="109"/>
      <c r="B640" s="126"/>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c r="AD640" s="122"/>
    </row>
    <row r="641">
      <c r="A641" s="109"/>
      <c r="B641" s="126"/>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c r="AD641" s="122"/>
    </row>
    <row r="642">
      <c r="A642" s="109"/>
      <c r="B642" s="126"/>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c r="AD642" s="122"/>
    </row>
    <row r="643">
      <c r="A643" s="109"/>
      <c r="B643" s="126"/>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c r="AD643" s="122"/>
    </row>
    <row r="644">
      <c r="A644" s="109"/>
      <c r="B644" s="126"/>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c r="AD644" s="122"/>
    </row>
    <row r="645">
      <c r="A645" s="109"/>
      <c r="B645" s="126"/>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c r="AD645" s="122"/>
    </row>
    <row r="646">
      <c r="A646" s="109"/>
      <c r="B646" s="126"/>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c r="AD646" s="122"/>
    </row>
    <row r="647">
      <c r="A647" s="109"/>
      <c r="B647" s="126"/>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c r="AD647" s="122"/>
    </row>
    <row r="648">
      <c r="A648" s="109"/>
      <c r="B648" s="126"/>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2"/>
    </row>
    <row r="649">
      <c r="A649" s="109"/>
      <c r="B649" s="126"/>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c r="AD649" s="122"/>
    </row>
    <row r="650">
      <c r="A650" s="109"/>
      <c r="B650" s="126"/>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c r="AD650" s="122"/>
    </row>
    <row r="651">
      <c r="A651" s="109"/>
      <c r="B651" s="126"/>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c r="AD651" s="122"/>
    </row>
    <row r="652">
      <c r="A652" s="109"/>
      <c r="B652" s="126"/>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c r="AD652" s="122"/>
    </row>
    <row r="653">
      <c r="A653" s="109"/>
      <c r="B653" s="126"/>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c r="AD653" s="122"/>
    </row>
    <row r="654">
      <c r="A654" s="109"/>
      <c r="B654" s="126"/>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c r="AD654" s="122"/>
    </row>
    <row r="655">
      <c r="A655" s="109"/>
      <c r="B655" s="126"/>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c r="AD655" s="122"/>
    </row>
    <row r="656">
      <c r="A656" s="109"/>
      <c r="B656" s="126"/>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c r="AD656" s="122"/>
    </row>
    <row r="657">
      <c r="A657" s="109"/>
      <c r="B657" s="126"/>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c r="AD657" s="122"/>
    </row>
    <row r="658">
      <c r="A658" s="109"/>
      <c r="B658" s="126"/>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c r="AD658" s="122"/>
    </row>
    <row r="659">
      <c r="A659" s="109"/>
      <c r="B659" s="126"/>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c r="AD659" s="122"/>
    </row>
    <row r="660">
      <c r="A660" s="109"/>
      <c r="B660" s="126"/>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c r="AD660" s="122"/>
    </row>
    <row r="661">
      <c r="A661" s="109"/>
      <c r="B661" s="126"/>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c r="AD661" s="122"/>
    </row>
    <row r="662">
      <c r="A662" s="109"/>
      <c r="B662" s="126"/>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c r="AD662" s="122"/>
    </row>
    <row r="663">
      <c r="A663" s="109"/>
      <c r="B663" s="126"/>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c r="AD663" s="122"/>
    </row>
    <row r="664">
      <c r="A664" s="109"/>
      <c r="B664" s="126"/>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c r="AD664" s="122"/>
    </row>
    <row r="665">
      <c r="A665" s="109"/>
      <c r="B665" s="126"/>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c r="AD665" s="122"/>
    </row>
    <row r="666">
      <c r="A666" s="109"/>
      <c r="B666" s="126"/>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c r="AD666" s="122"/>
    </row>
    <row r="667">
      <c r="A667" s="109"/>
      <c r="B667" s="126"/>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c r="AD667" s="122"/>
    </row>
    <row r="668">
      <c r="A668" s="109"/>
      <c r="B668" s="126"/>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row>
    <row r="669">
      <c r="A669" s="109"/>
      <c r="B669" s="126"/>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c r="AD669" s="122"/>
    </row>
    <row r="670">
      <c r="A670" s="109"/>
      <c r="B670" s="126"/>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2"/>
    </row>
    <row r="671">
      <c r="A671" s="109"/>
      <c r="B671" s="126"/>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c r="AD671" s="122"/>
    </row>
    <row r="672">
      <c r="A672" s="109"/>
      <c r="B672" s="126"/>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row>
    <row r="673">
      <c r="A673" s="109"/>
      <c r="B673" s="126"/>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row>
    <row r="674">
      <c r="A674" s="109"/>
      <c r="B674" s="126"/>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row>
    <row r="675">
      <c r="A675" s="109"/>
      <c r="B675" s="126"/>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2"/>
    </row>
    <row r="676">
      <c r="A676" s="109"/>
      <c r="B676" s="126"/>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2"/>
    </row>
    <row r="677">
      <c r="A677" s="109"/>
      <c r="B677" s="126"/>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c r="AD677" s="122"/>
    </row>
    <row r="678">
      <c r="A678" s="109"/>
      <c r="B678" s="126"/>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row>
    <row r="679">
      <c r="A679" s="109"/>
      <c r="B679" s="126"/>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c r="AD679" s="122"/>
    </row>
    <row r="680">
      <c r="A680" s="109"/>
      <c r="B680" s="126"/>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2"/>
    </row>
    <row r="681">
      <c r="A681" s="109"/>
      <c r="B681" s="126"/>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c r="AD681" s="122"/>
    </row>
    <row r="682">
      <c r="A682" s="109"/>
      <c r="B682" s="126"/>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c r="AD682" s="122"/>
    </row>
    <row r="683">
      <c r="A683" s="109"/>
      <c r="B683" s="126"/>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row>
    <row r="684">
      <c r="A684" s="109"/>
      <c r="B684" s="126"/>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c r="AD684" s="122"/>
    </row>
    <row r="685">
      <c r="A685" s="109"/>
      <c r="B685" s="126"/>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c r="AD685" s="122"/>
    </row>
    <row r="686">
      <c r="A686" s="109"/>
      <c r="B686" s="126"/>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c r="AD686" s="122"/>
    </row>
    <row r="687">
      <c r="A687" s="109"/>
      <c r="B687" s="126"/>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row>
    <row r="688">
      <c r="A688" s="109"/>
      <c r="B688" s="126"/>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row>
    <row r="689">
      <c r="A689" s="109"/>
      <c r="B689" s="126"/>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row>
    <row r="690">
      <c r="A690" s="109"/>
      <c r="B690" s="126"/>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c r="AD690" s="122"/>
    </row>
    <row r="691">
      <c r="A691" s="109"/>
      <c r="B691" s="126"/>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c r="AD691" s="122"/>
    </row>
    <row r="692">
      <c r="A692" s="109"/>
      <c r="B692" s="126"/>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c r="AD692" s="122"/>
    </row>
    <row r="693">
      <c r="A693" s="109"/>
      <c r="B693" s="126"/>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row>
    <row r="694">
      <c r="A694" s="109"/>
      <c r="B694" s="126"/>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c r="AD694" s="122"/>
    </row>
    <row r="695">
      <c r="A695" s="109"/>
      <c r="B695" s="126"/>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c r="AD695" s="122"/>
    </row>
    <row r="696">
      <c r="A696" s="109"/>
      <c r="B696" s="126"/>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c r="AD696" s="122"/>
    </row>
    <row r="697">
      <c r="A697" s="109"/>
      <c r="B697" s="126"/>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c r="AD697" s="122"/>
    </row>
    <row r="698">
      <c r="A698" s="109"/>
      <c r="B698" s="126"/>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c r="AD698" s="122"/>
    </row>
    <row r="699">
      <c r="A699" s="109"/>
      <c r="B699" s="126"/>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c r="AD699" s="122"/>
    </row>
    <row r="700">
      <c r="A700" s="109"/>
      <c r="B700" s="126"/>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c r="AD700" s="122"/>
    </row>
    <row r="701">
      <c r="A701" s="109"/>
      <c r="B701" s="126"/>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c r="AD701" s="122"/>
    </row>
    <row r="702">
      <c r="A702" s="109"/>
      <c r="B702" s="126"/>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c r="AD702" s="122"/>
    </row>
    <row r="703">
      <c r="A703" s="109"/>
      <c r="B703" s="126"/>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c r="AD703" s="122"/>
    </row>
    <row r="704">
      <c r="A704" s="109"/>
      <c r="B704" s="126"/>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c r="AD704" s="122"/>
    </row>
    <row r="705">
      <c r="A705" s="109"/>
      <c r="B705" s="126"/>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c r="AD705" s="122"/>
    </row>
    <row r="706">
      <c r="A706" s="109"/>
      <c r="B706" s="126"/>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c r="AD706" s="122"/>
    </row>
    <row r="707">
      <c r="A707" s="109"/>
      <c r="B707" s="126"/>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c r="AD707" s="122"/>
    </row>
    <row r="708">
      <c r="A708" s="109"/>
      <c r="B708" s="126"/>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c r="AD708" s="122"/>
    </row>
    <row r="709">
      <c r="A709" s="109"/>
      <c r="B709" s="126"/>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c r="AD709" s="122"/>
    </row>
    <row r="710">
      <c r="A710" s="109"/>
      <c r="B710" s="126"/>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c r="AD710" s="122"/>
    </row>
    <row r="711">
      <c r="A711" s="109"/>
      <c r="B711" s="126"/>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c r="AD711" s="122"/>
    </row>
    <row r="712">
      <c r="A712" s="109"/>
      <c r="B712" s="126"/>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c r="AD712" s="122"/>
    </row>
    <row r="713">
      <c r="A713" s="109"/>
      <c r="B713" s="126"/>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c r="AD713" s="122"/>
    </row>
    <row r="714">
      <c r="A714" s="109"/>
      <c r="B714" s="126"/>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c r="AD714" s="122"/>
    </row>
    <row r="715">
      <c r="A715" s="109"/>
      <c r="B715" s="126"/>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c r="AD715" s="122"/>
    </row>
    <row r="716">
      <c r="A716" s="109"/>
      <c r="B716" s="126"/>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c r="AD716" s="122"/>
    </row>
    <row r="717">
      <c r="A717" s="109"/>
      <c r="B717" s="126"/>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c r="AD717" s="122"/>
    </row>
    <row r="718">
      <c r="A718" s="109"/>
      <c r="B718" s="126"/>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c r="AD718" s="122"/>
    </row>
    <row r="719">
      <c r="A719" s="109"/>
      <c r="B719" s="126"/>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c r="AD719" s="122"/>
    </row>
    <row r="720">
      <c r="A720" s="109"/>
      <c r="B720" s="126"/>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c r="AD720" s="122"/>
    </row>
    <row r="721">
      <c r="A721" s="109"/>
      <c r="B721" s="126"/>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c r="AD721" s="122"/>
    </row>
    <row r="722">
      <c r="A722" s="109"/>
      <c r="B722" s="126"/>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c r="AD722" s="122"/>
    </row>
    <row r="723">
      <c r="A723" s="109"/>
      <c r="B723" s="126"/>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c r="AD723" s="122"/>
    </row>
    <row r="724">
      <c r="A724" s="109"/>
      <c r="B724" s="126"/>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c r="AD724" s="122"/>
    </row>
    <row r="725">
      <c r="A725" s="109"/>
      <c r="B725" s="126"/>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c r="AD725" s="122"/>
    </row>
    <row r="726">
      <c r="A726" s="109"/>
      <c r="B726" s="126"/>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c r="AD726" s="122"/>
    </row>
    <row r="727">
      <c r="A727" s="109"/>
      <c r="B727" s="126"/>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c r="AD727" s="122"/>
    </row>
    <row r="728">
      <c r="A728" s="109"/>
      <c r="B728" s="126"/>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c r="AD728" s="122"/>
    </row>
    <row r="729">
      <c r="A729" s="109"/>
      <c r="B729" s="126"/>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c r="AD729" s="122"/>
    </row>
    <row r="730">
      <c r="A730" s="109"/>
      <c r="B730" s="126"/>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c r="AD730" s="122"/>
    </row>
    <row r="731">
      <c r="A731" s="109"/>
      <c r="B731" s="126"/>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c r="AD731" s="122"/>
    </row>
    <row r="732">
      <c r="A732" s="109"/>
      <c r="B732" s="126"/>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c r="AD732" s="122"/>
    </row>
    <row r="733">
      <c r="A733" s="109"/>
      <c r="B733" s="126"/>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c r="AD733" s="122"/>
    </row>
    <row r="734">
      <c r="A734" s="109"/>
      <c r="B734" s="126"/>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c r="AD734" s="122"/>
    </row>
    <row r="735">
      <c r="A735" s="109"/>
      <c r="B735" s="126"/>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c r="AD735" s="122"/>
    </row>
    <row r="736">
      <c r="A736" s="109"/>
      <c r="B736" s="126"/>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c r="AD736" s="122"/>
    </row>
    <row r="737">
      <c r="A737" s="109"/>
      <c r="B737" s="126"/>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c r="AD737" s="122"/>
    </row>
    <row r="738">
      <c r="A738" s="109"/>
      <c r="B738" s="126"/>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c r="AD738" s="122"/>
    </row>
    <row r="739">
      <c r="A739" s="109"/>
      <c r="B739" s="126"/>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c r="AD739" s="122"/>
    </row>
    <row r="740">
      <c r="A740" s="109"/>
      <c r="B740" s="126"/>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c r="AD740" s="122"/>
    </row>
    <row r="741">
      <c r="A741" s="109"/>
      <c r="B741" s="126"/>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c r="AD741" s="122"/>
    </row>
    <row r="742">
      <c r="A742" s="109"/>
      <c r="B742" s="126"/>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c r="AD742" s="122"/>
    </row>
    <row r="743">
      <c r="A743" s="109"/>
      <c r="B743" s="126"/>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c r="AD743" s="122"/>
    </row>
    <row r="744">
      <c r="A744" s="109"/>
      <c r="B744" s="126"/>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c r="AD744" s="122"/>
    </row>
    <row r="745">
      <c r="A745" s="109"/>
      <c r="B745" s="126"/>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c r="AD745" s="122"/>
    </row>
    <row r="746">
      <c r="A746" s="109"/>
      <c r="B746" s="126"/>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c r="AD746" s="122"/>
    </row>
    <row r="747">
      <c r="A747" s="109"/>
      <c r="B747" s="126"/>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c r="AD747" s="122"/>
    </row>
    <row r="748">
      <c r="A748" s="109"/>
      <c r="B748" s="126"/>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c r="AD748" s="122"/>
    </row>
    <row r="749">
      <c r="A749" s="109"/>
      <c r="B749" s="126"/>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c r="AD749" s="122"/>
    </row>
    <row r="750">
      <c r="A750" s="109"/>
      <c r="B750" s="126"/>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c r="AD750" s="122"/>
    </row>
    <row r="751">
      <c r="A751" s="109"/>
      <c r="B751" s="126"/>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c r="AD751" s="122"/>
    </row>
    <row r="752">
      <c r="A752" s="109"/>
      <c r="B752" s="126"/>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2"/>
    </row>
    <row r="753">
      <c r="A753" s="109"/>
      <c r="B753" s="126"/>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c r="AD753" s="122"/>
    </row>
    <row r="754">
      <c r="A754" s="109"/>
      <c r="B754" s="126"/>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c r="AD754" s="122"/>
    </row>
    <row r="755">
      <c r="A755" s="109"/>
      <c r="B755" s="126"/>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c r="AD755" s="122"/>
    </row>
    <row r="756">
      <c r="A756" s="109"/>
      <c r="B756" s="126"/>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c r="AD756" s="122"/>
    </row>
    <row r="757">
      <c r="A757" s="109"/>
      <c r="B757" s="126"/>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c r="AD757" s="122"/>
    </row>
    <row r="758">
      <c r="A758" s="109"/>
      <c r="B758" s="126"/>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c r="AD758" s="122"/>
    </row>
    <row r="759">
      <c r="A759" s="109"/>
      <c r="B759" s="126"/>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c r="AD759" s="122"/>
    </row>
    <row r="760">
      <c r="A760" s="109"/>
      <c r="B760" s="126"/>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c r="AD760" s="122"/>
    </row>
    <row r="761">
      <c r="A761" s="109"/>
      <c r="B761" s="126"/>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c r="AD761" s="122"/>
    </row>
    <row r="762">
      <c r="A762" s="109"/>
      <c r="B762" s="126"/>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c r="AD762" s="122"/>
    </row>
    <row r="763">
      <c r="A763" s="109"/>
      <c r="B763" s="126"/>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c r="AD763" s="122"/>
    </row>
    <row r="764">
      <c r="A764" s="109"/>
      <c r="B764" s="126"/>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c r="AD764" s="122"/>
    </row>
    <row r="765">
      <c r="A765" s="109"/>
      <c r="B765" s="126"/>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c r="AD765" s="122"/>
    </row>
    <row r="766">
      <c r="A766" s="109"/>
      <c r="B766" s="126"/>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c r="AD766" s="122"/>
    </row>
    <row r="767">
      <c r="A767" s="109"/>
      <c r="B767" s="126"/>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c r="AD767" s="122"/>
    </row>
    <row r="768">
      <c r="A768" s="109"/>
      <c r="B768" s="126"/>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c r="AD768" s="122"/>
    </row>
    <row r="769">
      <c r="A769" s="109"/>
      <c r="B769" s="126"/>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c r="AD769" s="122"/>
    </row>
    <row r="770">
      <c r="A770" s="109"/>
      <c r="B770" s="126"/>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c r="AD770" s="122"/>
    </row>
    <row r="771">
      <c r="A771" s="109"/>
      <c r="B771" s="126"/>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c r="AD771" s="122"/>
    </row>
    <row r="772">
      <c r="A772" s="109"/>
      <c r="B772" s="126"/>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c r="AD772" s="122"/>
    </row>
    <row r="773">
      <c r="A773" s="109"/>
      <c r="B773" s="126"/>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c r="AD773" s="122"/>
    </row>
    <row r="774">
      <c r="A774" s="109"/>
      <c r="B774" s="126"/>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c r="AD774" s="122"/>
    </row>
    <row r="775">
      <c r="A775" s="109"/>
      <c r="B775" s="126"/>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c r="AD775" s="122"/>
    </row>
    <row r="776">
      <c r="A776" s="109"/>
      <c r="B776" s="126"/>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c r="AD776" s="122"/>
    </row>
    <row r="777">
      <c r="A777" s="109"/>
      <c r="B777" s="126"/>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c r="AD777" s="122"/>
    </row>
    <row r="778">
      <c r="A778" s="109"/>
      <c r="B778" s="126"/>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c r="AD778" s="122"/>
    </row>
    <row r="779">
      <c r="A779" s="109"/>
      <c r="B779" s="126"/>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c r="AD779" s="122"/>
    </row>
    <row r="780">
      <c r="A780" s="109"/>
      <c r="B780" s="126"/>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c r="AD780" s="122"/>
    </row>
    <row r="781">
      <c r="A781" s="109"/>
      <c r="B781" s="126"/>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c r="AD781" s="122"/>
    </row>
    <row r="782">
      <c r="A782" s="109"/>
      <c r="B782" s="126"/>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c r="AD782" s="122"/>
    </row>
    <row r="783">
      <c r="A783" s="109"/>
      <c r="B783" s="126"/>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c r="AD783" s="122"/>
    </row>
    <row r="784">
      <c r="A784" s="109"/>
      <c r="B784" s="126"/>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c r="AD784" s="122"/>
    </row>
    <row r="785">
      <c r="A785" s="109"/>
      <c r="B785" s="126"/>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c r="AD785" s="122"/>
    </row>
    <row r="786">
      <c r="A786" s="109"/>
      <c r="B786" s="126"/>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c r="AD786" s="122"/>
    </row>
    <row r="787">
      <c r="A787" s="109"/>
      <c r="B787" s="126"/>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c r="AD787" s="122"/>
    </row>
    <row r="788">
      <c r="A788" s="109"/>
      <c r="B788" s="126"/>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c r="AD788" s="122"/>
    </row>
    <row r="789">
      <c r="A789" s="109"/>
      <c r="B789" s="126"/>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c r="AD789" s="122"/>
    </row>
    <row r="790">
      <c r="A790" s="109"/>
      <c r="B790" s="126"/>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c r="AD790" s="122"/>
    </row>
    <row r="791">
      <c r="A791" s="109"/>
      <c r="B791" s="126"/>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c r="AD791" s="122"/>
    </row>
    <row r="792">
      <c r="A792" s="109"/>
      <c r="B792" s="126"/>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c r="AD792" s="122"/>
    </row>
    <row r="793">
      <c r="A793" s="109"/>
      <c r="B793" s="126"/>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c r="AD793" s="122"/>
    </row>
    <row r="794">
      <c r="A794" s="109"/>
      <c r="B794" s="126"/>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c r="AD794" s="122"/>
    </row>
    <row r="795">
      <c r="A795" s="109"/>
      <c r="B795" s="126"/>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c r="AD795" s="122"/>
    </row>
    <row r="796">
      <c r="A796" s="109"/>
      <c r="B796" s="126"/>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c r="AD796" s="122"/>
    </row>
    <row r="797">
      <c r="A797" s="109"/>
      <c r="B797" s="126"/>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c r="AD797" s="122"/>
    </row>
    <row r="798">
      <c r="A798" s="109"/>
      <c r="B798" s="126"/>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c r="AD798" s="122"/>
    </row>
    <row r="799">
      <c r="A799" s="109"/>
      <c r="B799" s="126"/>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c r="AD799" s="122"/>
    </row>
    <row r="800">
      <c r="A800" s="109"/>
      <c r="B800" s="126"/>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c r="AD800" s="122"/>
    </row>
    <row r="801">
      <c r="A801" s="109"/>
      <c r="B801" s="126"/>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c r="AD801" s="122"/>
    </row>
    <row r="802">
      <c r="A802" s="109"/>
      <c r="B802" s="126"/>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c r="AD802" s="122"/>
    </row>
    <row r="803">
      <c r="A803" s="109"/>
      <c r="B803" s="126"/>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c r="AD803" s="122"/>
    </row>
    <row r="804">
      <c r="A804" s="109"/>
      <c r="B804" s="126"/>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c r="AD804" s="122"/>
    </row>
    <row r="805">
      <c r="A805" s="109"/>
      <c r="B805" s="126"/>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c r="AD805" s="122"/>
    </row>
    <row r="806">
      <c r="A806" s="109"/>
      <c r="B806" s="126"/>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c r="AD806" s="122"/>
    </row>
    <row r="807">
      <c r="A807" s="109"/>
      <c r="B807" s="126"/>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c r="AD807" s="122"/>
    </row>
    <row r="808">
      <c r="A808" s="109"/>
      <c r="B808" s="126"/>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c r="AD808" s="122"/>
    </row>
    <row r="809">
      <c r="A809" s="109"/>
      <c r="B809" s="126"/>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c r="AD809" s="122"/>
    </row>
    <row r="810">
      <c r="A810" s="109"/>
      <c r="B810" s="126"/>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c r="AD810" s="122"/>
    </row>
    <row r="811">
      <c r="A811" s="109"/>
      <c r="B811" s="126"/>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c r="AD811" s="122"/>
    </row>
    <row r="812">
      <c r="A812" s="109"/>
      <c r="B812" s="126"/>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c r="AD812" s="122"/>
    </row>
    <row r="813">
      <c r="A813" s="109"/>
      <c r="B813" s="126"/>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c r="AD813" s="122"/>
    </row>
    <row r="814">
      <c r="A814" s="109"/>
      <c r="B814" s="126"/>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c r="AD814" s="122"/>
    </row>
    <row r="815">
      <c r="A815" s="109"/>
      <c r="B815" s="126"/>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c r="AD815" s="122"/>
    </row>
    <row r="816">
      <c r="A816" s="109"/>
      <c r="B816" s="126"/>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c r="AD816" s="122"/>
    </row>
    <row r="817">
      <c r="A817" s="109"/>
      <c r="B817" s="126"/>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c r="AD817" s="122"/>
    </row>
    <row r="818">
      <c r="A818" s="109"/>
      <c r="B818" s="126"/>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c r="AD818" s="122"/>
    </row>
    <row r="819">
      <c r="A819" s="109"/>
      <c r="B819" s="126"/>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c r="AD819" s="122"/>
    </row>
    <row r="820">
      <c r="A820" s="109"/>
      <c r="B820" s="126"/>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c r="AD820" s="122"/>
    </row>
    <row r="821">
      <c r="A821" s="109"/>
      <c r="B821" s="126"/>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c r="AD821" s="122"/>
    </row>
    <row r="822">
      <c r="A822" s="109"/>
      <c r="B822" s="126"/>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c r="AD822" s="122"/>
    </row>
    <row r="823">
      <c r="A823" s="109"/>
      <c r="B823" s="126"/>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c r="AD823" s="122"/>
    </row>
    <row r="824">
      <c r="A824" s="109"/>
      <c r="B824" s="126"/>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c r="AD824" s="122"/>
    </row>
    <row r="825">
      <c r="A825" s="109"/>
      <c r="B825" s="126"/>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c r="AD825" s="122"/>
    </row>
    <row r="826">
      <c r="A826" s="109"/>
      <c r="B826" s="126"/>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c r="AD826" s="122"/>
    </row>
    <row r="827">
      <c r="A827" s="109"/>
      <c r="B827" s="126"/>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c r="AD827" s="122"/>
    </row>
    <row r="828">
      <c r="A828" s="109"/>
      <c r="B828" s="126"/>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c r="AD828" s="122"/>
    </row>
    <row r="829">
      <c r="A829" s="109"/>
      <c r="B829" s="126"/>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c r="AD829" s="122"/>
    </row>
    <row r="830">
      <c r="A830" s="109"/>
      <c r="B830" s="126"/>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c r="AD830" s="122"/>
    </row>
    <row r="831">
      <c r="A831" s="109"/>
      <c r="B831" s="126"/>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c r="AD831" s="122"/>
    </row>
    <row r="832">
      <c r="A832" s="109"/>
      <c r="B832" s="126"/>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c r="AD832" s="122"/>
    </row>
    <row r="833">
      <c r="A833" s="109"/>
      <c r="B833" s="126"/>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c r="AD833" s="122"/>
    </row>
    <row r="834">
      <c r="A834" s="109"/>
      <c r="B834" s="126"/>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c r="AD834" s="122"/>
    </row>
    <row r="835">
      <c r="A835" s="109"/>
      <c r="B835" s="126"/>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c r="AD835" s="122"/>
    </row>
    <row r="836">
      <c r="A836" s="109"/>
      <c r="B836" s="126"/>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c r="AD836" s="122"/>
    </row>
    <row r="837">
      <c r="A837" s="109"/>
      <c r="B837" s="126"/>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c r="AD837" s="122"/>
    </row>
    <row r="838">
      <c r="A838" s="109"/>
      <c r="B838" s="126"/>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c r="AD838" s="122"/>
    </row>
    <row r="839">
      <c r="A839" s="109"/>
      <c r="B839" s="126"/>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c r="AD839" s="122"/>
    </row>
    <row r="840">
      <c r="A840" s="109"/>
      <c r="B840" s="126"/>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c r="AD840" s="122"/>
    </row>
    <row r="841">
      <c r="A841" s="109"/>
      <c r="B841" s="126"/>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c r="AD841" s="122"/>
    </row>
    <row r="842">
      <c r="A842" s="109"/>
      <c r="B842" s="126"/>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c r="AD842" s="122"/>
    </row>
    <row r="843">
      <c r="A843" s="109"/>
      <c r="B843" s="126"/>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c r="AD843" s="122"/>
    </row>
    <row r="844">
      <c r="A844" s="109"/>
      <c r="B844" s="126"/>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c r="AD844" s="122"/>
    </row>
    <row r="845">
      <c r="A845" s="109"/>
      <c r="B845" s="126"/>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c r="AD845" s="122"/>
    </row>
    <row r="846">
      <c r="A846" s="109"/>
      <c r="B846" s="126"/>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c r="AD846" s="122"/>
    </row>
    <row r="847">
      <c r="A847" s="109"/>
      <c r="B847" s="126"/>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c r="AD847" s="122"/>
    </row>
    <row r="848">
      <c r="A848" s="109"/>
      <c r="B848" s="126"/>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c r="AD848" s="122"/>
    </row>
    <row r="849">
      <c r="A849" s="109"/>
      <c r="B849" s="126"/>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c r="AD849" s="122"/>
    </row>
    <row r="850">
      <c r="A850" s="109"/>
      <c r="B850" s="126"/>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c r="AD850" s="122"/>
    </row>
    <row r="851">
      <c r="A851" s="109"/>
      <c r="B851" s="126"/>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c r="AD851" s="122"/>
    </row>
    <row r="852">
      <c r="A852" s="109"/>
      <c r="B852" s="126"/>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c r="AD852" s="122"/>
    </row>
    <row r="853">
      <c r="A853" s="109"/>
      <c r="B853" s="126"/>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c r="AD853" s="122"/>
    </row>
    <row r="854">
      <c r="A854" s="109"/>
      <c r="B854" s="126"/>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c r="AD854" s="122"/>
    </row>
    <row r="855">
      <c r="A855" s="109"/>
      <c r="B855" s="126"/>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c r="AD855" s="122"/>
    </row>
    <row r="856">
      <c r="A856" s="109"/>
      <c r="B856" s="126"/>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c r="AD856" s="122"/>
    </row>
    <row r="857">
      <c r="A857" s="109"/>
      <c r="B857" s="126"/>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c r="AD857" s="122"/>
    </row>
    <row r="858">
      <c r="A858" s="109"/>
      <c r="B858" s="126"/>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c r="AD858" s="122"/>
    </row>
    <row r="859">
      <c r="A859" s="109"/>
      <c r="B859" s="126"/>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c r="AD859" s="122"/>
    </row>
    <row r="860">
      <c r="A860" s="109"/>
      <c r="B860" s="126"/>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c r="AD860" s="122"/>
    </row>
    <row r="861">
      <c r="A861" s="109"/>
      <c r="B861" s="126"/>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c r="AD861" s="122"/>
    </row>
    <row r="862">
      <c r="A862" s="109"/>
      <c r="B862" s="126"/>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c r="AD862" s="122"/>
    </row>
    <row r="863">
      <c r="A863" s="109"/>
      <c r="B863" s="126"/>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c r="AD863" s="122"/>
    </row>
    <row r="864">
      <c r="A864" s="109"/>
      <c r="B864" s="126"/>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c r="AD864" s="122"/>
    </row>
    <row r="865">
      <c r="A865" s="109"/>
      <c r="B865" s="126"/>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c r="AD865" s="122"/>
    </row>
    <row r="866">
      <c r="A866" s="109"/>
      <c r="B866" s="126"/>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c r="AD866" s="122"/>
    </row>
    <row r="867">
      <c r="A867" s="109"/>
      <c r="B867" s="126"/>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c r="AD867" s="122"/>
    </row>
    <row r="868">
      <c r="A868" s="109"/>
      <c r="B868" s="126"/>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c r="AD868" s="122"/>
    </row>
    <row r="869">
      <c r="A869" s="109"/>
      <c r="B869" s="126"/>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c r="AD869" s="122"/>
    </row>
    <row r="870">
      <c r="A870" s="109"/>
      <c r="B870" s="126"/>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c r="AD870" s="122"/>
    </row>
    <row r="871">
      <c r="A871" s="109"/>
      <c r="B871" s="126"/>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c r="AD871" s="122"/>
    </row>
    <row r="872">
      <c r="A872" s="109"/>
      <c r="B872" s="126"/>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c r="AD872" s="122"/>
    </row>
    <row r="873">
      <c r="A873" s="109"/>
      <c r="B873" s="126"/>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c r="AD873" s="122"/>
    </row>
    <row r="874">
      <c r="A874" s="109"/>
      <c r="B874" s="126"/>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c r="AD874" s="122"/>
    </row>
    <row r="875">
      <c r="A875" s="109"/>
      <c r="B875" s="126"/>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c r="AD875" s="122"/>
    </row>
    <row r="876">
      <c r="A876" s="109"/>
      <c r="B876" s="126"/>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c r="AD876" s="122"/>
    </row>
    <row r="877">
      <c r="A877" s="109"/>
      <c r="B877" s="126"/>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c r="AD877" s="122"/>
    </row>
    <row r="878">
      <c r="A878" s="109"/>
      <c r="B878" s="126"/>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c r="AD878" s="122"/>
    </row>
    <row r="879">
      <c r="A879" s="109"/>
      <c r="B879" s="126"/>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c r="AD879" s="122"/>
    </row>
    <row r="880">
      <c r="A880" s="109"/>
      <c r="B880" s="126"/>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c r="AD880" s="122"/>
    </row>
    <row r="881">
      <c r="A881" s="109"/>
      <c r="B881" s="126"/>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c r="AD881" s="122"/>
    </row>
    <row r="882">
      <c r="A882" s="109"/>
      <c r="B882" s="126"/>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c r="AD882" s="122"/>
    </row>
    <row r="883">
      <c r="A883" s="109"/>
      <c r="B883" s="126"/>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c r="AD883" s="122"/>
    </row>
    <row r="884">
      <c r="A884" s="109"/>
      <c r="B884" s="126"/>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c r="AD884" s="122"/>
    </row>
    <row r="885">
      <c r="A885" s="109"/>
      <c r="B885" s="126"/>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c r="AD885" s="122"/>
    </row>
    <row r="886">
      <c r="A886" s="109"/>
      <c r="B886" s="126"/>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c r="AD886" s="122"/>
    </row>
    <row r="887">
      <c r="A887" s="109"/>
      <c r="B887" s="126"/>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c r="AD887" s="122"/>
    </row>
    <row r="888">
      <c r="A888" s="109"/>
      <c r="B888" s="126"/>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c r="AD888" s="122"/>
    </row>
    <row r="889">
      <c r="A889" s="109"/>
      <c r="B889" s="126"/>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c r="AD889" s="122"/>
    </row>
    <row r="890">
      <c r="A890" s="109"/>
      <c r="B890" s="126"/>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c r="AD890" s="122"/>
    </row>
    <row r="891">
      <c r="A891" s="109"/>
      <c r="B891" s="126"/>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c r="AD891" s="122"/>
    </row>
    <row r="892">
      <c r="A892" s="109"/>
      <c r="B892" s="126"/>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c r="AD892" s="122"/>
    </row>
    <row r="893">
      <c r="A893" s="109"/>
      <c r="B893" s="126"/>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c r="AD893" s="122"/>
    </row>
    <row r="894">
      <c r="A894" s="109"/>
      <c r="B894" s="126"/>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c r="AD894" s="122"/>
    </row>
    <row r="895">
      <c r="A895" s="109"/>
      <c r="B895" s="126"/>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c r="AD895" s="122"/>
    </row>
    <row r="896">
      <c r="A896" s="109"/>
      <c r="B896" s="126"/>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c r="AD896" s="122"/>
    </row>
    <row r="897">
      <c r="A897" s="109"/>
      <c r="B897" s="126"/>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c r="AD897" s="122"/>
    </row>
    <row r="898">
      <c r="A898" s="109"/>
      <c r="B898" s="126"/>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c r="AD898" s="122"/>
    </row>
    <row r="899">
      <c r="A899" s="109"/>
      <c r="B899" s="126"/>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c r="AD899" s="122"/>
    </row>
    <row r="900">
      <c r="A900" s="109"/>
      <c r="B900" s="126"/>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c r="AD900" s="122"/>
    </row>
    <row r="901">
      <c r="A901" s="109"/>
      <c r="B901" s="126"/>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c r="AD901" s="122"/>
    </row>
    <row r="902">
      <c r="A902" s="109"/>
      <c r="B902" s="126"/>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c r="AD902" s="122"/>
    </row>
    <row r="903">
      <c r="A903" s="109"/>
      <c r="B903" s="126"/>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c r="AD903" s="122"/>
    </row>
    <row r="904">
      <c r="A904" s="109"/>
      <c r="B904" s="126"/>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c r="AD904" s="122"/>
    </row>
    <row r="905">
      <c r="A905" s="109"/>
      <c r="B905" s="126"/>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c r="AD905" s="122"/>
    </row>
    <row r="906">
      <c r="A906" s="109"/>
      <c r="B906" s="126"/>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c r="AD906" s="122"/>
    </row>
    <row r="907">
      <c r="A907" s="109"/>
      <c r="B907" s="126"/>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c r="AD907" s="122"/>
    </row>
    <row r="908">
      <c r="A908" s="109"/>
      <c r="B908" s="126"/>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c r="AD908" s="122"/>
    </row>
    <row r="909">
      <c r="A909" s="109"/>
      <c r="B909" s="126"/>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c r="AD909" s="122"/>
    </row>
    <row r="910">
      <c r="A910" s="109"/>
      <c r="B910" s="126"/>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row>
    <row r="911">
      <c r="A911" s="109"/>
      <c r="B911" s="126"/>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row>
    <row r="912">
      <c r="A912" s="109"/>
      <c r="B912" s="126"/>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c r="AD912" s="122"/>
    </row>
    <row r="913">
      <c r="A913" s="109"/>
      <c r="B913" s="126"/>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c r="AD913" s="122"/>
    </row>
    <row r="914">
      <c r="A914" s="109"/>
      <c r="B914" s="126"/>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c r="AD914" s="122"/>
    </row>
    <row r="915">
      <c r="A915" s="109"/>
      <c r="B915" s="126"/>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c r="AD915" s="122"/>
    </row>
    <row r="916">
      <c r="A916" s="109"/>
      <c r="B916" s="126"/>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c r="AD916" s="122"/>
    </row>
    <row r="917">
      <c r="A917" s="109"/>
      <c r="B917" s="126"/>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c r="AD917" s="122"/>
    </row>
    <row r="918">
      <c r="A918" s="109"/>
      <c r="B918" s="126"/>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c r="AD918" s="122"/>
    </row>
    <row r="919">
      <c r="A919" s="109"/>
      <c r="B919" s="126"/>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c r="AD919" s="122"/>
    </row>
    <row r="920">
      <c r="A920" s="109"/>
      <c r="B920" s="126"/>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c r="AD920" s="122"/>
    </row>
    <row r="921">
      <c r="A921" s="109"/>
      <c r="B921" s="126"/>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c r="AD921" s="122"/>
    </row>
    <row r="922">
      <c r="A922" s="109"/>
      <c r="B922" s="126"/>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c r="AD922" s="122"/>
    </row>
    <row r="923">
      <c r="A923" s="109"/>
      <c r="B923" s="126"/>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c r="AD923" s="122"/>
    </row>
    <row r="924">
      <c r="A924" s="109"/>
      <c r="B924" s="126"/>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c r="AD924" s="122"/>
    </row>
    <row r="925">
      <c r="A925" s="109"/>
      <c r="B925" s="126"/>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c r="AD925" s="122"/>
    </row>
    <row r="926">
      <c r="A926" s="109"/>
      <c r="B926" s="126"/>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c r="AD926" s="122"/>
    </row>
    <row r="927">
      <c r="A927" s="109"/>
      <c r="B927" s="126"/>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c r="AD927" s="122"/>
    </row>
    <row r="928">
      <c r="A928" s="109"/>
      <c r="B928" s="126"/>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c r="AD928" s="122"/>
    </row>
    <row r="929">
      <c r="A929" s="109"/>
      <c r="B929" s="126"/>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c r="AD929" s="122"/>
    </row>
    <row r="930">
      <c r="A930" s="109"/>
      <c r="B930" s="126"/>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c r="AD930" s="122"/>
    </row>
    <row r="931">
      <c r="A931" s="109"/>
      <c r="B931" s="126"/>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c r="AD931" s="122"/>
    </row>
    <row r="932">
      <c r="A932" s="109"/>
      <c r="B932" s="126"/>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c r="AD932" s="122"/>
    </row>
    <row r="933">
      <c r="A933" s="109"/>
      <c r="B933" s="126"/>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c r="AD933" s="122"/>
    </row>
    <row r="934">
      <c r="A934" s="109"/>
      <c r="B934" s="126"/>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c r="AD934" s="122"/>
    </row>
    <row r="935">
      <c r="A935" s="109"/>
      <c r="B935" s="126"/>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c r="AD935" s="122"/>
    </row>
    <row r="936">
      <c r="A936" s="109"/>
      <c r="B936" s="126"/>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c r="AD936" s="122"/>
    </row>
    <row r="937">
      <c r="A937" s="109"/>
      <c r="B937" s="126"/>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c r="AD937" s="122"/>
    </row>
    <row r="938">
      <c r="A938" s="109"/>
      <c r="B938" s="126"/>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c r="AD938" s="122"/>
    </row>
    <row r="939">
      <c r="A939" s="109"/>
      <c r="B939" s="126"/>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c r="AD939" s="122"/>
    </row>
    <row r="940">
      <c r="A940" s="109"/>
      <c r="B940" s="126"/>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c r="AD940" s="122"/>
    </row>
    <row r="941">
      <c r="A941" s="109"/>
      <c r="B941" s="126"/>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c r="AD941" s="122"/>
    </row>
    <row r="942">
      <c r="A942" s="109"/>
      <c r="B942" s="126"/>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c r="AD942" s="122"/>
    </row>
    <row r="943">
      <c r="A943" s="109"/>
      <c r="B943" s="126"/>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c r="AD943" s="122"/>
    </row>
    <row r="944">
      <c r="A944" s="109"/>
      <c r="B944" s="126"/>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c r="AD944" s="122"/>
    </row>
    <row r="945">
      <c r="A945" s="109"/>
      <c r="B945" s="126"/>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c r="AD945" s="122"/>
    </row>
    <row r="946">
      <c r="A946" s="109"/>
      <c r="B946" s="126"/>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c r="AD946" s="122"/>
    </row>
    <row r="947">
      <c r="A947" s="109"/>
      <c r="B947" s="126"/>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c r="AD947" s="122"/>
    </row>
    <row r="948">
      <c r="A948" s="109"/>
      <c r="B948" s="126"/>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c r="AD948" s="122"/>
    </row>
    <row r="949">
      <c r="A949" s="109"/>
      <c r="B949" s="126"/>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c r="AD949" s="122"/>
    </row>
    <row r="950">
      <c r="A950" s="109"/>
      <c r="B950" s="126"/>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c r="AD950" s="122"/>
    </row>
    <row r="951">
      <c r="A951" s="109"/>
      <c r="B951" s="126"/>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c r="AD951" s="122"/>
    </row>
    <row r="952">
      <c r="A952" s="109"/>
      <c r="B952" s="126"/>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c r="AD952" s="122"/>
    </row>
    <row r="953">
      <c r="A953" s="109"/>
      <c r="B953" s="126"/>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c r="AD953" s="122"/>
    </row>
    <row r="954">
      <c r="A954" s="109"/>
      <c r="B954" s="126"/>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c r="AD954" s="122"/>
    </row>
    <row r="955">
      <c r="A955" s="109"/>
      <c r="B955" s="126"/>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c r="AD955" s="122"/>
    </row>
    <row r="956">
      <c r="A956" s="109"/>
      <c r="B956" s="126"/>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c r="AD956" s="122"/>
    </row>
    <row r="957">
      <c r="A957" s="109"/>
      <c r="B957" s="126"/>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c r="AD957" s="122"/>
    </row>
    <row r="958">
      <c r="A958" s="109"/>
      <c r="B958" s="126"/>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c r="AD958" s="122"/>
    </row>
    <row r="959">
      <c r="A959" s="109"/>
      <c r="B959" s="126"/>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c r="AD959" s="122"/>
    </row>
    <row r="960">
      <c r="A960" s="109"/>
      <c r="B960" s="126"/>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c r="AD960" s="122"/>
    </row>
    <row r="961">
      <c r="A961" s="109"/>
      <c r="B961" s="126"/>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c r="AD961" s="122"/>
    </row>
    <row r="962">
      <c r="A962" s="109"/>
      <c r="B962" s="126"/>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2"/>
      <c r="AD962" s="122"/>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0"/>
    <col customWidth="1" min="2" max="2" width="36.5"/>
    <col customWidth="1" min="3" max="21" width="7.63"/>
    <col customWidth="1" min="22" max="22" width="8.88"/>
    <col customWidth="1" min="23" max="27" width="7.63"/>
    <col customWidth="1" min="28" max="28" width="15.88"/>
    <col customWidth="1" min="29" max="29" width="7.63"/>
  </cols>
  <sheetData>
    <row r="1">
      <c r="A1" s="150"/>
      <c r="B1" s="30" t="s">
        <v>58</v>
      </c>
      <c r="C1" s="30" t="s">
        <v>5</v>
      </c>
      <c r="D1" s="31"/>
      <c r="E1" s="31"/>
      <c r="F1" s="30"/>
      <c r="G1" s="30"/>
      <c r="H1" s="30"/>
      <c r="I1" s="30"/>
      <c r="J1" s="31"/>
      <c r="K1" s="31"/>
      <c r="L1" s="31"/>
      <c r="M1" s="30" t="s">
        <v>6</v>
      </c>
      <c r="N1" s="33"/>
      <c r="O1" s="33"/>
      <c r="P1" s="33"/>
      <c r="Q1" s="31"/>
      <c r="R1" s="30" t="s">
        <v>7</v>
      </c>
      <c r="S1" s="110"/>
      <c r="T1" s="31"/>
      <c r="U1" s="30"/>
      <c r="V1" s="31"/>
      <c r="W1" s="30" t="s">
        <v>8</v>
      </c>
      <c r="X1" s="111"/>
      <c r="Y1" s="31"/>
      <c r="Z1" s="31"/>
      <c r="AA1" s="112" t="s">
        <v>59</v>
      </c>
      <c r="AB1" s="113"/>
      <c r="AC1" s="113"/>
      <c r="AD1" s="113"/>
    </row>
    <row r="2">
      <c r="A2" s="150"/>
      <c r="B2" s="114" t="s">
        <v>30</v>
      </c>
      <c r="C2" s="115" t="s">
        <v>11</v>
      </c>
      <c r="D2" s="115" t="s">
        <v>12</v>
      </c>
      <c r="E2" s="114" t="s">
        <v>13</v>
      </c>
      <c r="F2" s="114" t="s">
        <v>14</v>
      </c>
      <c r="G2" s="114" t="s">
        <v>15</v>
      </c>
      <c r="H2" s="114" t="s">
        <v>60</v>
      </c>
      <c r="I2" s="114" t="s">
        <v>17</v>
      </c>
      <c r="J2" s="115" t="s">
        <v>18</v>
      </c>
      <c r="K2" s="114" t="s">
        <v>19</v>
      </c>
      <c r="L2" s="114" t="s">
        <v>61</v>
      </c>
      <c r="M2" s="114" t="s">
        <v>62</v>
      </c>
      <c r="N2" s="114" t="s">
        <v>63</v>
      </c>
      <c r="O2" s="114" t="s">
        <v>64</v>
      </c>
      <c r="P2" s="114" t="s">
        <v>65</v>
      </c>
      <c r="Q2" s="114" t="s">
        <v>66</v>
      </c>
      <c r="R2" s="114" t="s">
        <v>67</v>
      </c>
      <c r="S2" s="114" t="s">
        <v>68</v>
      </c>
      <c r="T2" s="114" t="s">
        <v>27</v>
      </c>
      <c r="U2" s="115" t="s">
        <v>28</v>
      </c>
      <c r="V2" s="114" t="s">
        <v>69</v>
      </c>
      <c r="W2" s="114" t="s">
        <v>67</v>
      </c>
      <c r="X2" s="114" t="s">
        <v>29</v>
      </c>
      <c r="Y2" s="114" t="s">
        <v>19</v>
      </c>
      <c r="Z2" s="114" t="s">
        <v>70</v>
      </c>
      <c r="AA2" s="116" t="s">
        <v>30</v>
      </c>
      <c r="AB2" s="113"/>
      <c r="AC2" s="113"/>
      <c r="AD2" s="113"/>
    </row>
    <row r="3">
      <c r="A3" s="130" t="s">
        <v>181</v>
      </c>
      <c r="B3" s="131" t="s">
        <v>157</v>
      </c>
      <c r="C3" s="132"/>
      <c r="D3" s="132"/>
      <c r="E3" s="132"/>
      <c r="F3" s="132"/>
      <c r="G3" s="132"/>
      <c r="H3" s="132"/>
      <c r="I3" s="132"/>
      <c r="J3" s="132"/>
      <c r="K3" s="132"/>
      <c r="L3" s="132"/>
      <c r="M3" s="133" t="s">
        <v>72</v>
      </c>
      <c r="N3" s="130">
        <v>1430.0</v>
      </c>
      <c r="O3" s="132"/>
      <c r="P3" s="132"/>
      <c r="Q3" s="132"/>
      <c r="R3" s="132"/>
      <c r="S3" s="132"/>
      <c r="T3" s="132"/>
      <c r="U3" s="130">
        <v>1430.0</v>
      </c>
      <c r="V3" s="129"/>
      <c r="W3" s="128"/>
      <c r="X3" s="128"/>
      <c r="Y3" s="128"/>
      <c r="Z3" s="129"/>
      <c r="AA3" s="120">
        <f t="shared" ref="AA3:AA76" si="1">sum(C3:L3,N3:Q3)-sum(S3:Z3)</f>
        <v>0</v>
      </c>
      <c r="AB3" s="121"/>
      <c r="AC3" s="111"/>
      <c r="AD3" s="111"/>
    </row>
    <row r="4">
      <c r="A4" s="130" t="s">
        <v>182</v>
      </c>
      <c r="B4" s="131" t="s">
        <v>127</v>
      </c>
      <c r="C4" s="132"/>
      <c r="D4" s="132"/>
      <c r="E4" s="132"/>
      <c r="F4" s="132"/>
      <c r="G4" s="132"/>
      <c r="H4" s="132"/>
      <c r="I4" s="132"/>
      <c r="J4" s="132"/>
      <c r="K4" s="132"/>
      <c r="L4" s="132"/>
      <c r="M4" s="133" t="s">
        <v>72</v>
      </c>
      <c r="N4" s="130">
        <v>1220.0</v>
      </c>
      <c r="O4" s="132"/>
      <c r="P4" s="132"/>
      <c r="Q4" s="132"/>
      <c r="R4" s="132"/>
      <c r="S4" s="132"/>
      <c r="T4" s="132"/>
      <c r="U4" s="130">
        <v>1220.0</v>
      </c>
      <c r="V4" s="129"/>
      <c r="W4" s="128"/>
      <c r="X4" s="128"/>
      <c r="Y4" s="128"/>
      <c r="Z4" s="129"/>
      <c r="AA4" s="120">
        <f t="shared" si="1"/>
        <v>0</v>
      </c>
      <c r="AB4" s="122"/>
      <c r="AC4" s="122"/>
      <c r="AD4" s="122"/>
    </row>
    <row r="5">
      <c r="A5" s="130" t="s">
        <v>183</v>
      </c>
      <c r="B5" s="131" t="s">
        <v>157</v>
      </c>
      <c r="C5" s="132"/>
      <c r="D5" s="132"/>
      <c r="E5" s="132"/>
      <c r="F5" s="132"/>
      <c r="G5" s="132"/>
      <c r="H5" s="132"/>
      <c r="I5" s="132"/>
      <c r="J5" s="132"/>
      <c r="K5" s="132"/>
      <c r="L5" s="132"/>
      <c r="M5" s="133" t="s">
        <v>72</v>
      </c>
      <c r="N5" s="130">
        <v>1793.0</v>
      </c>
      <c r="O5" s="132"/>
      <c r="P5" s="132"/>
      <c r="Q5" s="132"/>
      <c r="R5" s="132"/>
      <c r="S5" s="132"/>
      <c r="T5" s="132"/>
      <c r="U5" s="130">
        <v>1793.0</v>
      </c>
      <c r="V5" s="129"/>
      <c r="W5" s="128"/>
      <c r="X5" s="128"/>
      <c r="Y5" s="128"/>
      <c r="Z5" s="129"/>
      <c r="AA5" s="120">
        <f t="shared" si="1"/>
        <v>0</v>
      </c>
      <c r="AB5" s="111"/>
      <c r="AC5" s="111"/>
      <c r="AD5" s="111"/>
    </row>
    <row r="6">
      <c r="A6" s="137">
        <v>44537.0</v>
      </c>
      <c r="B6" s="131" t="s">
        <v>157</v>
      </c>
      <c r="C6" s="132"/>
      <c r="D6" s="132"/>
      <c r="E6" s="132"/>
      <c r="F6" s="132"/>
      <c r="G6" s="132"/>
      <c r="H6" s="132"/>
      <c r="I6" s="132"/>
      <c r="J6" s="132"/>
      <c r="K6" s="132"/>
      <c r="L6" s="132"/>
      <c r="M6" s="133" t="s">
        <v>72</v>
      </c>
      <c r="N6" s="130">
        <v>2343.0</v>
      </c>
      <c r="O6" s="132"/>
      <c r="P6" s="132"/>
      <c r="Q6" s="132"/>
      <c r="R6" s="132"/>
      <c r="S6" s="132"/>
      <c r="T6" s="132"/>
      <c r="U6" s="130">
        <v>2343.0</v>
      </c>
      <c r="V6" s="129"/>
      <c r="W6" s="128"/>
      <c r="X6" s="128"/>
      <c r="Y6" s="128"/>
      <c r="Z6" s="129"/>
      <c r="AA6" s="120">
        <f t="shared" si="1"/>
        <v>0</v>
      </c>
      <c r="AB6" s="111"/>
      <c r="AC6" s="111"/>
      <c r="AD6" s="111"/>
    </row>
    <row r="7">
      <c r="A7" s="137">
        <v>44507.0</v>
      </c>
      <c r="B7" s="131" t="s">
        <v>73</v>
      </c>
      <c r="C7" s="132"/>
      <c r="D7" s="132"/>
      <c r="E7" s="132"/>
      <c r="F7" s="132"/>
      <c r="G7" s="132"/>
      <c r="H7" s="132"/>
      <c r="I7" s="132"/>
      <c r="J7" s="132"/>
      <c r="K7" s="132"/>
      <c r="L7" s="132"/>
      <c r="M7" s="133" t="s">
        <v>72</v>
      </c>
      <c r="N7" s="130">
        <v>372.0</v>
      </c>
      <c r="O7" s="132"/>
      <c r="P7" s="132"/>
      <c r="Q7" s="132"/>
      <c r="R7" s="132"/>
      <c r="S7" s="132"/>
      <c r="T7" s="132"/>
      <c r="U7" s="130">
        <v>372.0</v>
      </c>
      <c r="V7" s="129"/>
      <c r="W7" s="128"/>
      <c r="X7" s="128"/>
      <c r="Y7" s="128"/>
      <c r="Z7" s="129"/>
      <c r="AA7" s="120">
        <f t="shared" si="1"/>
        <v>0</v>
      </c>
      <c r="AB7" s="122"/>
      <c r="AC7" s="122"/>
      <c r="AD7" s="122"/>
    </row>
    <row r="8">
      <c r="A8" s="137">
        <v>44446.0</v>
      </c>
      <c r="B8" s="131" t="s">
        <v>74</v>
      </c>
      <c r="C8" s="132"/>
      <c r="D8" s="132"/>
      <c r="E8" s="132"/>
      <c r="F8" s="132"/>
      <c r="G8" s="132"/>
      <c r="H8" s="132"/>
      <c r="I8" s="132"/>
      <c r="J8" s="132"/>
      <c r="K8" s="132"/>
      <c r="L8" s="132"/>
      <c r="M8" s="133" t="s">
        <v>72</v>
      </c>
      <c r="N8" s="130">
        <v>6295.0</v>
      </c>
      <c r="O8" s="132"/>
      <c r="P8" s="132"/>
      <c r="Q8" s="132"/>
      <c r="R8" s="132"/>
      <c r="S8" s="132"/>
      <c r="T8" s="132"/>
      <c r="U8" s="130">
        <v>6295.0</v>
      </c>
      <c r="V8" s="129"/>
      <c r="W8" s="128"/>
      <c r="X8" s="128"/>
      <c r="Y8" s="128"/>
      <c r="Z8" s="129"/>
      <c r="AA8" s="120">
        <f t="shared" si="1"/>
        <v>0</v>
      </c>
      <c r="AB8" s="121"/>
      <c r="AC8" s="122"/>
      <c r="AD8" s="122"/>
    </row>
    <row r="9">
      <c r="A9" s="137">
        <v>44415.0</v>
      </c>
      <c r="B9" s="131" t="s">
        <v>74</v>
      </c>
      <c r="C9" s="132"/>
      <c r="D9" s="132"/>
      <c r="E9" s="132"/>
      <c r="F9" s="132"/>
      <c r="G9" s="132"/>
      <c r="H9" s="132"/>
      <c r="I9" s="132"/>
      <c r="J9" s="132"/>
      <c r="K9" s="132"/>
      <c r="L9" s="132"/>
      <c r="M9" s="133" t="s">
        <v>72</v>
      </c>
      <c r="N9" s="130">
        <v>6125.0</v>
      </c>
      <c r="O9" s="132"/>
      <c r="P9" s="132"/>
      <c r="Q9" s="132"/>
      <c r="R9" s="132"/>
      <c r="S9" s="132"/>
      <c r="T9" s="132"/>
      <c r="U9" s="130">
        <v>6125.0</v>
      </c>
      <c r="V9" s="129"/>
      <c r="W9" s="128"/>
      <c r="X9" s="128"/>
      <c r="Y9" s="128"/>
      <c r="Z9" s="129"/>
      <c r="AA9" s="120">
        <f t="shared" si="1"/>
        <v>0</v>
      </c>
      <c r="AB9" s="121"/>
      <c r="AC9" s="122"/>
      <c r="AD9" s="122"/>
    </row>
    <row r="10">
      <c r="A10" s="137">
        <v>44354.0</v>
      </c>
      <c r="B10" s="131" t="s">
        <v>73</v>
      </c>
      <c r="C10" s="132"/>
      <c r="D10" s="132"/>
      <c r="E10" s="132"/>
      <c r="F10" s="132"/>
      <c r="G10" s="132"/>
      <c r="H10" s="132"/>
      <c r="I10" s="132"/>
      <c r="J10" s="132"/>
      <c r="K10" s="132"/>
      <c r="L10" s="132"/>
      <c r="M10" s="133" t="s">
        <v>72</v>
      </c>
      <c r="N10" s="130">
        <v>399.0</v>
      </c>
      <c r="O10" s="132"/>
      <c r="P10" s="132"/>
      <c r="Q10" s="132"/>
      <c r="R10" s="132"/>
      <c r="S10" s="132"/>
      <c r="T10" s="132"/>
      <c r="U10" s="130">
        <v>399.0</v>
      </c>
      <c r="V10" s="129"/>
      <c r="W10" s="128"/>
      <c r="X10" s="128"/>
      <c r="Y10" s="128"/>
      <c r="Z10" s="129"/>
      <c r="AA10" s="120">
        <f t="shared" si="1"/>
        <v>0</v>
      </c>
      <c r="AB10" s="122"/>
      <c r="AC10" s="122"/>
      <c r="AD10" s="122"/>
    </row>
    <row r="11">
      <c r="A11" s="137">
        <v>44354.0</v>
      </c>
      <c r="B11" s="131" t="s">
        <v>157</v>
      </c>
      <c r="C11" s="132"/>
      <c r="D11" s="132"/>
      <c r="E11" s="132"/>
      <c r="F11" s="132"/>
      <c r="G11" s="132"/>
      <c r="H11" s="132"/>
      <c r="I11" s="132"/>
      <c r="J11" s="132"/>
      <c r="K11" s="132"/>
      <c r="L11" s="132"/>
      <c r="M11" s="133" t="s">
        <v>72</v>
      </c>
      <c r="N11" s="130">
        <v>1784.0</v>
      </c>
      <c r="O11" s="132"/>
      <c r="P11" s="132"/>
      <c r="Q11" s="132"/>
      <c r="R11" s="132"/>
      <c r="S11" s="132"/>
      <c r="T11" s="132"/>
      <c r="U11" s="130">
        <v>1784.0</v>
      </c>
      <c r="V11" s="129"/>
      <c r="W11" s="128"/>
      <c r="X11" s="128"/>
      <c r="Y11" s="128"/>
      <c r="Z11" s="129"/>
      <c r="AA11" s="120">
        <f t="shared" si="1"/>
        <v>0</v>
      </c>
      <c r="AB11" s="122"/>
      <c r="AC11" s="122"/>
      <c r="AD11" s="122"/>
    </row>
    <row r="12">
      <c r="A12" s="137">
        <v>44323.0</v>
      </c>
      <c r="B12" s="131" t="s">
        <v>74</v>
      </c>
      <c r="C12" s="132"/>
      <c r="D12" s="132"/>
      <c r="E12" s="132"/>
      <c r="F12" s="132"/>
      <c r="G12" s="132"/>
      <c r="H12" s="132"/>
      <c r="I12" s="132"/>
      <c r="J12" s="132"/>
      <c r="K12" s="132"/>
      <c r="L12" s="132"/>
      <c r="M12" s="133" t="s">
        <v>72</v>
      </c>
      <c r="N12" s="130">
        <v>4494.0</v>
      </c>
      <c r="O12" s="132"/>
      <c r="P12" s="132"/>
      <c r="Q12" s="132"/>
      <c r="R12" s="132"/>
      <c r="S12" s="132"/>
      <c r="T12" s="132"/>
      <c r="U12" s="130">
        <v>4494.0</v>
      </c>
      <c r="V12" s="129"/>
      <c r="W12" s="128"/>
      <c r="X12" s="128"/>
      <c r="Y12" s="128"/>
      <c r="Z12" s="129"/>
      <c r="AA12" s="120">
        <f t="shared" si="1"/>
        <v>0</v>
      </c>
      <c r="AB12" s="122"/>
      <c r="AC12" s="122"/>
      <c r="AD12" s="122"/>
    </row>
    <row r="13">
      <c r="A13" s="137">
        <v>44323.0</v>
      </c>
      <c r="B13" s="131" t="s">
        <v>127</v>
      </c>
      <c r="C13" s="132"/>
      <c r="D13" s="132"/>
      <c r="E13" s="132"/>
      <c r="F13" s="132"/>
      <c r="G13" s="132"/>
      <c r="H13" s="132"/>
      <c r="I13" s="132"/>
      <c r="J13" s="132"/>
      <c r="K13" s="132"/>
      <c r="L13" s="132"/>
      <c r="M13" s="133" t="s">
        <v>72</v>
      </c>
      <c r="N13" s="130">
        <v>2010.0</v>
      </c>
      <c r="O13" s="132"/>
      <c r="P13" s="132"/>
      <c r="Q13" s="132"/>
      <c r="R13" s="132"/>
      <c r="S13" s="132"/>
      <c r="T13" s="132"/>
      <c r="U13" s="130">
        <v>2010.0</v>
      </c>
      <c r="V13" s="129"/>
      <c r="W13" s="128"/>
      <c r="X13" s="128"/>
      <c r="Y13" s="128"/>
      <c r="Z13" s="129"/>
      <c r="AA13" s="120">
        <f t="shared" si="1"/>
        <v>0</v>
      </c>
      <c r="AB13" s="122"/>
      <c r="AC13" s="122"/>
      <c r="AD13" s="122"/>
    </row>
    <row r="14">
      <c r="A14" s="137">
        <v>44262.0</v>
      </c>
      <c r="B14" s="131" t="s">
        <v>74</v>
      </c>
      <c r="C14" s="132"/>
      <c r="D14" s="132"/>
      <c r="E14" s="132"/>
      <c r="F14" s="132"/>
      <c r="G14" s="132"/>
      <c r="H14" s="132"/>
      <c r="I14" s="132"/>
      <c r="J14" s="132"/>
      <c r="K14" s="132"/>
      <c r="L14" s="132"/>
      <c r="M14" s="133" t="s">
        <v>72</v>
      </c>
      <c r="N14" s="130">
        <v>460.0</v>
      </c>
      <c r="O14" s="132"/>
      <c r="P14" s="132"/>
      <c r="Q14" s="132"/>
      <c r="R14" s="132"/>
      <c r="S14" s="132"/>
      <c r="T14" s="132"/>
      <c r="U14" s="130">
        <v>460.0</v>
      </c>
      <c r="V14" s="129"/>
      <c r="W14" s="128"/>
      <c r="X14" s="128"/>
      <c r="Y14" s="128"/>
      <c r="Z14" s="129"/>
      <c r="AA14" s="120">
        <f t="shared" si="1"/>
        <v>0</v>
      </c>
      <c r="AB14" s="122"/>
      <c r="AC14" s="122"/>
      <c r="AD14" s="122"/>
    </row>
    <row r="15">
      <c r="A15" s="130" t="s">
        <v>184</v>
      </c>
      <c r="B15" s="131" t="s">
        <v>73</v>
      </c>
      <c r="C15" s="132"/>
      <c r="D15" s="132"/>
      <c r="E15" s="132"/>
      <c r="F15" s="132"/>
      <c r="G15" s="132"/>
      <c r="H15" s="132"/>
      <c r="I15" s="132"/>
      <c r="J15" s="132"/>
      <c r="K15" s="132"/>
      <c r="L15" s="132"/>
      <c r="M15" s="133" t="s">
        <v>72</v>
      </c>
      <c r="N15" s="130">
        <v>535.0</v>
      </c>
      <c r="O15" s="132"/>
      <c r="P15" s="132"/>
      <c r="Q15" s="132"/>
      <c r="R15" s="132"/>
      <c r="S15" s="132"/>
      <c r="T15" s="132"/>
      <c r="U15" s="130">
        <v>535.0</v>
      </c>
      <c r="V15" s="129"/>
      <c r="W15" s="128"/>
      <c r="X15" s="128"/>
      <c r="Y15" s="128"/>
      <c r="Z15" s="129"/>
      <c r="AA15" s="120">
        <f t="shared" si="1"/>
        <v>0</v>
      </c>
      <c r="AB15" s="122"/>
      <c r="AC15" s="122"/>
      <c r="AD15" s="122"/>
    </row>
    <row r="16">
      <c r="A16" s="130" t="s">
        <v>183</v>
      </c>
      <c r="B16" s="131" t="s">
        <v>74</v>
      </c>
      <c r="C16" s="132"/>
      <c r="D16" s="132"/>
      <c r="E16" s="132"/>
      <c r="F16" s="132"/>
      <c r="G16" s="132"/>
      <c r="H16" s="132"/>
      <c r="I16" s="132"/>
      <c r="J16" s="132"/>
      <c r="K16" s="132"/>
      <c r="L16" s="132"/>
      <c r="M16" s="133" t="s">
        <v>72</v>
      </c>
      <c r="N16" s="130">
        <v>5520.0</v>
      </c>
      <c r="O16" s="132"/>
      <c r="P16" s="132"/>
      <c r="Q16" s="132"/>
      <c r="R16" s="132"/>
      <c r="S16" s="132"/>
      <c r="T16" s="132"/>
      <c r="U16" s="130">
        <v>5520.0</v>
      </c>
      <c r="V16" s="129"/>
      <c r="W16" s="128"/>
      <c r="X16" s="128"/>
      <c r="Y16" s="128"/>
      <c r="Z16" s="129"/>
      <c r="AA16" s="120">
        <f t="shared" si="1"/>
        <v>0</v>
      </c>
      <c r="AB16" s="121"/>
      <c r="AC16" s="122"/>
      <c r="AD16" s="122"/>
    </row>
    <row r="17">
      <c r="A17" s="130" t="s">
        <v>185</v>
      </c>
      <c r="B17" s="131" t="s">
        <v>73</v>
      </c>
      <c r="C17" s="132"/>
      <c r="D17" s="132"/>
      <c r="E17" s="132"/>
      <c r="F17" s="132"/>
      <c r="G17" s="132"/>
      <c r="H17" s="132"/>
      <c r="I17" s="132"/>
      <c r="J17" s="132"/>
      <c r="K17" s="132"/>
      <c r="L17" s="132"/>
      <c r="M17" s="133" t="s">
        <v>72</v>
      </c>
      <c r="N17" s="130">
        <v>359.0</v>
      </c>
      <c r="O17" s="132"/>
      <c r="P17" s="132"/>
      <c r="Q17" s="132"/>
      <c r="R17" s="132"/>
      <c r="S17" s="132"/>
      <c r="T17" s="132"/>
      <c r="U17" s="130">
        <v>359.0</v>
      </c>
      <c r="V17" s="129"/>
      <c r="W17" s="128"/>
      <c r="X17" s="128"/>
      <c r="Y17" s="128"/>
      <c r="Z17" s="129"/>
      <c r="AA17" s="120">
        <f t="shared" si="1"/>
        <v>0</v>
      </c>
      <c r="AB17" s="122"/>
      <c r="AC17" s="122"/>
      <c r="AD17" s="122"/>
    </row>
    <row r="18">
      <c r="A18" s="130" t="s">
        <v>186</v>
      </c>
      <c r="B18" s="131" t="s">
        <v>74</v>
      </c>
      <c r="C18" s="132"/>
      <c r="D18" s="132"/>
      <c r="E18" s="132"/>
      <c r="F18" s="132"/>
      <c r="G18" s="132"/>
      <c r="H18" s="132"/>
      <c r="I18" s="132"/>
      <c r="J18" s="132"/>
      <c r="K18" s="132"/>
      <c r="L18" s="132"/>
      <c r="M18" s="133" t="s">
        <v>72</v>
      </c>
      <c r="N18" s="130">
        <v>8731.0</v>
      </c>
      <c r="O18" s="132"/>
      <c r="P18" s="132"/>
      <c r="Q18" s="134"/>
      <c r="R18" s="132"/>
      <c r="S18" s="132"/>
      <c r="T18" s="132"/>
      <c r="U18" s="130">
        <v>8731.0</v>
      </c>
      <c r="V18" s="129"/>
      <c r="W18" s="128"/>
      <c r="X18" s="128"/>
      <c r="Y18" s="128"/>
      <c r="Z18" s="129"/>
      <c r="AA18" s="120">
        <f t="shared" si="1"/>
        <v>0</v>
      </c>
      <c r="AB18" s="111"/>
      <c r="AC18" s="111"/>
      <c r="AD18" s="111"/>
    </row>
    <row r="19">
      <c r="A19" s="130" t="s">
        <v>187</v>
      </c>
      <c r="B19" s="131" t="s">
        <v>73</v>
      </c>
      <c r="C19" s="132"/>
      <c r="D19" s="132"/>
      <c r="E19" s="132"/>
      <c r="F19" s="132"/>
      <c r="G19" s="132"/>
      <c r="H19" s="132"/>
      <c r="I19" s="132"/>
      <c r="J19" s="132"/>
      <c r="K19" s="132"/>
      <c r="L19" s="132"/>
      <c r="M19" s="133" t="s">
        <v>72</v>
      </c>
      <c r="N19" s="130">
        <v>618.0</v>
      </c>
      <c r="O19" s="132"/>
      <c r="P19" s="132"/>
      <c r="Q19" s="134"/>
      <c r="R19" s="132"/>
      <c r="S19" s="132"/>
      <c r="T19" s="132"/>
      <c r="U19" s="130">
        <v>618.0</v>
      </c>
      <c r="V19" s="129"/>
      <c r="W19" s="128"/>
      <c r="X19" s="128"/>
      <c r="Y19" s="128"/>
      <c r="Z19" s="129"/>
      <c r="AA19" s="120">
        <f t="shared" si="1"/>
        <v>0</v>
      </c>
      <c r="AB19" s="111"/>
      <c r="AC19" s="111"/>
      <c r="AD19" s="111"/>
    </row>
    <row r="20">
      <c r="A20" s="130" t="s">
        <v>187</v>
      </c>
      <c r="B20" s="131" t="s">
        <v>73</v>
      </c>
      <c r="C20" s="132"/>
      <c r="D20" s="132"/>
      <c r="E20" s="132"/>
      <c r="F20" s="132"/>
      <c r="G20" s="132"/>
      <c r="H20" s="132"/>
      <c r="I20" s="132"/>
      <c r="J20" s="132"/>
      <c r="K20" s="132"/>
      <c r="L20" s="132"/>
      <c r="M20" s="133" t="s">
        <v>72</v>
      </c>
      <c r="N20" s="130">
        <v>824.0</v>
      </c>
      <c r="O20" s="132"/>
      <c r="P20" s="132"/>
      <c r="Q20" s="134"/>
      <c r="R20" s="132"/>
      <c r="S20" s="132"/>
      <c r="T20" s="132"/>
      <c r="U20" s="130">
        <v>824.0</v>
      </c>
      <c r="V20" s="129"/>
      <c r="W20" s="128"/>
      <c r="X20" s="128"/>
      <c r="Y20" s="128"/>
      <c r="Z20" s="129"/>
      <c r="AA20" s="120">
        <f t="shared" si="1"/>
        <v>0</v>
      </c>
      <c r="AB20" s="111"/>
      <c r="AC20" s="111"/>
      <c r="AD20" s="111"/>
    </row>
    <row r="21">
      <c r="A21" s="130" t="s">
        <v>188</v>
      </c>
      <c r="B21" s="131" t="s">
        <v>74</v>
      </c>
      <c r="C21" s="132"/>
      <c r="D21" s="132"/>
      <c r="E21" s="132"/>
      <c r="F21" s="132"/>
      <c r="G21" s="132"/>
      <c r="H21" s="132"/>
      <c r="I21" s="132"/>
      <c r="J21" s="132"/>
      <c r="K21" s="132"/>
      <c r="L21" s="132"/>
      <c r="M21" s="133" t="s">
        <v>72</v>
      </c>
      <c r="N21" s="130">
        <v>4919.0</v>
      </c>
      <c r="O21" s="132"/>
      <c r="P21" s="132"/>
      <c r="Q21" s="134"/>
      <c r="R21" s="132"/>
      <c r="S21" s="132"/>
      <c r="T21" s="132"/>
      <c r="U21" s="130">
        <v>4919.0</v>
      </c>
      <c r="V21" s="129"/>
      <c r="W21" s="128"/>
      <c r="X21" s="128"/>
      <c r="Y21" s="128"/>
      <c r="Z21" s="129"/>
      <c r="AA21" s="120">
        <f t="shared" si="1"/>
        <v>0</v>
      </c>
      <c r="AB21" s="111"/>
      <c r="AC21" s="111"/>
      <c r="AD21" s="111"/>
    </row>
    <row r="22">
      <c r="A22" s="130" t="s">
        <v>186</v>
      </c>
      <c r="B22" s="131" t="s">
        <v>77</v>
      </c>
      <c r="C22" s="132"/>
      <c r="D22" s="132"/>
      <c r="E22" s="132"/>
      <c r="F22" s="132"/>
      <c r="G22" s="132"/>
      <c r="H22" s="132"/>
      <c r="I22" s="132"/>
      <c r="J22" s="132"/>
      <c r="K22" s="132"/>
      <c r="L22" s="132"/>
      <c r="M22" s="133" t="s">
        <v>72</v>
      </c>
      <c r="N22" s="132"/>
      <c r="O22" s="132"/>
      <c r="P22" s="132"/>
      <c r="Q22" s="130">
        <v>250.0</v>
      </c>
      <c r="R22" s="132"/>
      <c r="S22" s="132"/>
      <c r="T22" s="132"/>
      <c r="U22" s="130">
        <v>250.0</v>
      </c>
      <c r="V22" s="129"/>
      <c r="W22" s="128"/>
      <c r="X22" s="128"/>
      <c r="Y22" s="128"/>
      <c r="Z22" s="129"/>
      <c r="AA22" s="120">
        <f t="shared" si="1"/>
        <v>0</v>
      </c>
      <c r="AB22" s="122"/>
      <c r="AC22" s="122"/>
      <c r="AD22" s="122"/>
    </row>
    <row r="23">
      <c r="A23" s="137">
        <v>44234.0</v>
      </c>
      <c r="B23" s="131" t="s">
        <v>189</v>
      </c>
      <c r="C23" s="132"/>
      <c r="D23" s="132"/>
      <c r="E23" s="132"/>
      <c r="F23" s="132"/>
      <c r="G23" s="132"/>
      <c r="H23" s="132"/>
      <c r="I23" s="132"/>
      <c r="J23" s="132"/>
      <c r="K23" s="132"/>
      <c r="L23" s="132"/>
      <c r="M23" s="133" t="s">
        <v>72</v>
      </c>
      <c r="N23" s="132"/>
      <c r="O23" s="132"/>
      <c r="P23" s="134"/>
      <c r="Q23" s="130">
        <v>1051.0</v>
      </c>
      <c r="R23" s="132"/>
      <c r="S23" s="132"/>
      <c r="T23" s="132"/>
      <c r="U23" s="130">
        <v>1051.0</v>
      </c>
      <c r="V23" s="129"/>
      <c r="W23" s="128"/>
      <c r="X23" s="128"/>
      <c r="Y23" s="128"/>
      <c r="Z23" s="129"/>
      <c r="AA23" s="120">
        <f t="shared" si="1"/>
        <v>0</v>
      </c>
      <c r="AB23" s="122"/>
      <c r="AC23" s="122"/>
      <c r="AD23" s="122"/>
    </row>
    <row r="24">
      <c r="A24" s="151"/>
      <c r="B24" s="133" t="s">
        <v>190</v>
      </c>
      <c r="C24" s="132"/>
      <c r="D24" s="132"/>
      <c r="E24" s="132"/>
      <c r="F24" s="132"/>
      <c r="G24" s="132"/>
      <c r="H24" s="132"/>
      <c r="I24" s="132"/>
      <c r="J24" s="132"/>
      <c r="K24" s="132"/>
      <c r="L24" s="132"/>
      <c r="M24" s="133" t="s">
        <v>72</v>
      </c>
      <c r="N24" s="130">
        <v>1009.0</v>
      </c>
      <c r="O24" s="132"/>
      <c r="P24" s="132"/>
      <c r="Q24" s="134"/>
      <c r="R24" s="132"/>
      <c r="S24" s="132"/>
      <c r="T24" s="132"/>
      <c r="U24" s="130">
        <v>1009.0</v>
      </c>
      <c r="V24" s="129"/>
      <c r="W24" s="128"/>
      <c r="X24" s="128"/>
      <c r="Y24" s="128"/>
      <c r="Z24" s="129"/>
      <c r="AA24" s="120">
        <f t="shared" si="1"/>
        <v>0</v>
      </c>
      <c r="AB24" s="122"/>
      <c r="AC24" s="122"/>
      <c r="AD24" s="122"/>
    </row>
    <row r="25">
      <c r="A25" s="130" t="s">
        <v>186</v>
      </c>
      <c r="B25" s="133" t="s">
        <v>191</v>
      </c>
      <c r="C25" s="132"/>
      <c r="D25" s="132"/>
      <c r="E25" s="132"/>
      <c r="F25" s="132"/>
      <c r="G25" s="132"/>
      <c r="H25" s="132"/>
      <c r="I25" s="132"/>
      <c r="J25" s="132"/>
      <c r="K25" s="132"/>
      <c r="L25" s="132"/>
      <c r="M25" s="133" t="s">
        <v>81</v>
      </c>
      <c r="N25" s="132"/>
      <c r="O25" s="132"/>
      <c r="P25" s="132"/>
      <c r="Q25" s="130">
        <v>224.0</v>
      </c>
      <c r="R25" s="132"/>
      <c r="S25" s="132"/>
      <c r="T25" s="132"/>
      <c r="U25" s="130">
        <v>224.0</v>
      </c>
      <c r="V25" s="129"/>
      <c r="W25" s="128"/>
      <c r="X25" s="128"/>
      <c r="Y25" s="128"/>
      <c r="Z25" s="129"/>
      <c r="AA25" s="120">
        <f t="shared" si="1"/>
        <v>0</v>
      </c>
      <c r="AB25" s="122"/>
      <c r="AC25" s="122"/>
      <c r="AD25" s="122"/>
    </row>
    <row r="26">
      <c r="A26" s="130" t="s">
        <v>192</v>
      </c>
      <c r="B26" s="133" t="s">
        <v>193</v>
      </c>
      <c r="C26" s="132"/>
      <c r="D26" s="132"/>
      <c r="E26" s="132"/>
      <c r="F26" s="132"/>
      <c r="G26" s="132"/>
      <c r="H26" s="132"/>
      <c r="I26" s="132"/>
      <c r="J26" s="132"/>
      <c r="K26" s="132"/>
      <c r="L26" s="132"/>
      <c r="M26" s="133" t="s">
        <v>72</v>
      </c>
      <c r="N26" s="130">
        <v>2999.0</v>
      </c>
      <c r="O26" s="132"/>
      <c r="P26" s="132"/>
      <c r="Q26" s="134"/>
      <c r="R26" s="132"/>
      <c r="S26" s="132"/>
      <c r="T26" s="132"/>
      <c r="U26" s="130">
        <v>2999.0</v>
      </c>
      <c r="V26" s="129"/>
      <c r="W26" s="128"/>
      <c r="X26" s="128"/>
      <c r="Y26" s="128"/>
      <c r="Z26" s="129"/>
      <c r="AA26" s="120">
        <f t="shared" si="1"/>
        <v>0</v>
      </c>
      <c r="AB26" s="122"/>
      <c r="AC26" s="122"/>
      <c r="AD26" s="122"/>
    </row>
    <row r="27">
      <c r="A27" s="137">
        <v>44446.0</v>
      </c>
      <c r="B27" s="133" t="s">
        <v>194</v>
      </c>
      <c r="C27" s="132"/>
      <c r="D27" s="132"/>
      <c r="E27" s="132"/>
      <c r="F27" s="132"/>
      <c r="G27" s="132"/>
      <c r="H27" s="132"/>
      <c r="I27" s="132"/>
      <c r="J27" s="132"/>
      <c r="K27" s="132"/>
      <c r="L27" s="132"/>
      <c r="M27" s="133" t="s">
        <v>72</v>
      </c>
      <c r="N27" s="130">
        <v>3507.0</v>
      </c>
      <c r="O27" s="132"/>
      <c r="P27" s="132"/>
      <c r="Q27" s="132"/>
      <c r="R27" s="132"/>
      <c r="S27" s="132"/>
      <c r="T27" s="132"/>
      <c r="U27" s="130">
        <v>3507.0</v>
      </c>
      <c r="V27" s="129"/>
      <c r="W27" s="128"/>
      <c r="X27" s="128"/>
      <c r="Y27" s="128"/>
      <c r="Z27" s="129"/>
      <c r="AA27" s="120">
        <f t="shared" si="1"/>
        <v>0</v>
      </c>
      <c r="AB27" s="121"/>
      <c r="AC27" s="122"/>
      <c r="AD27" s="122"/>
    </row>
    <row r="28">
      <c r="A28" s="137">
        <v>44262.0</v>
      </c>
      <c r="B28" s="133" t="s">
        <v>195</v>
      </c>
      <c r="C28" s="132"/>
      <c r="D28" s="132"/>
      <c r="E28" s="132"/>
      <c r="F28" s="132"/>
      <c r="G28" s="132"/>
      <c r="H28" s="132"/>
      <c r="I28" s="132"/>
      <c r="J28" s="132"/>
      <c r="K28" s="132"/>
      <c r="L28" s="132"/>
      <c r="M28" s="133" t="s">
        <v>79</v>
      </c>
      <c r="N28" s="134"/>
      <c r="O28" s="132"/>
      <c r="P28" s="130">
        <v>3731.0</v>
      </c>
      <c r="Q28" s="132"/>
      <c r="R28" s="132"/>
      <c r="S28" s="132"/>
      <c r="T28" s="132"/>
      <c r="U28" s="130">
        <v>3731.0</v>
      </c>
      <c r="V28" s="129"/>
      <c r="W28" s="128"/>
      <c r="X28" s="128"/>
      <c r="Y28" s="128"/>
      <c r="Z28" s="129"/>
      <c r="AA28" s="120">
        <f t="shared" si="1"/>
        <v>0</v>
      </c>
      <c r="AB28" s="121"/>
      <c r="AC28" s="111"/>
      <c r="AD28" s="111"/>
    </row>
    <row r="29">
      <c r="A29" s="130" t="s">
        <v>196</v>
      </c>
      <c r="B29" s="133" t="s">
        <v>197</v>
      </c>
      <c r="C29" s="132"/>
      <c r="D29" s="132"/>
      <c r="E29" s="132"/>
      <c r="F29" s="132"/>
      <c r="G29" s="132"/>
      <c r="H29" s="132"/>
      <c r="I29" s="132"/>
      <c r="J29" s="132"/>
      <c r="K29" s="132"/>
      <c r="L29" s="132"/>
      <c r="M29" s="133" t="s">
        <v>72</v>
      </c>
      <c r="N29" s="130">
        <v>4608.0</v>
      </c>
      <c r="O29" s="132"/>
      <c r="P29" s="132"/>
      <c r="Q29" s="132"/>
      <c r="R29" s="132"/>
      <c r="S29" s="132"/>
      <c r="T29" s="132"/>
      <c r="U29" s="130">
        <v>4608.0</v>
      </c>
      <c r="V29" s="129"/>
      <c r="W29" s="128"/>
      <c r="X29" s="128"/>
      <c r="Y29" s="128"/>
      <c r="Z29" s="129"/>
      <c r="AA29" s="120">
        <f t="shared" si="1"/>
        <v>0</v>
      </c>
      <c r="AB29" s="122"/>
      <c r="AC29" s="122"/>
      <c r="AD29" s="122"/>
    </row>
    <row r="30">
      <c r="A30" s="130" t="s">
        <v>184</v>
      </c>
      <c r="B30" s="133" t="s">
        <v>198</v>
      </c>
      <c r="C30" s="132"/>
      <c r="D30" s="132"/>
      <c r="E30" s="132"/>
      <c r="F30" s="132"/>
      <c r="G30" s="132"/>
      <c r="H30" s="132"/>
      <c r="I30" s="132"/>
      <c r="J30" s="132"/>
      <c r="K30" s="132"/>
      <c r="L30" s="132"/>
      <c r="M30" s="133" t="s">
        <v>72</v>
      </c>
      <c r="N30" s="130">
        <v>8616.0</v>
      </c>
      <c r="O30" s="132"/>
      <c r="P30" s="132"/>
      <c r="Q30" s="132"/>
      <c r="R30" s="132"/>
      <c r="S30" s="132"/>
      <c r="T30" s="132"/>
      <c r="U30" s="130">
        <v>8616.0</v>
      </c>
      <c r="V30" s="129"/>
      <c r="W30" s="128"/>
      <c r="X30" s="128"/>
      <c r="Y30" s="128"/>
      <c r="Z30" s="129"/>
      <c r="AA30" s="120">
        <f t="shared" si="1"/>
        <v>0</v>
      </c>
      <c r="AB30" s="122"/>
      <c r="AC30" s="122"/>
      <c r="AD30" s="122"/>
    </row>
    <row r="31">
      <c r="A31" s="152">
        <v>44403.0</v>
      </c>
      <c r="B31" s="146" t="s">
        <v>93</v>
      </c>
      <c r="C31" s="148"/>
      <c r="D31" s="148"/>
      <c r="E31" s="148"/>
      <c r="F31" s="148"/>
      <c r="G31" s="148"/>
      <c r="H31" s="148"/>
      <c r="I31" s="148"/>
      <c r="J31" s="146">
        <v>-160.0</v>
      </c>
      <c r="K31" s="146">
        <v>160.0</v>
      </c>
      <c r="L31" s="148"/>
      <c r="M31" s="147"/>
      <c r="N31" s="148"/>
      <c r="O31" s="148"/>
      <c r="P31" s="148"/>
      <c r="Q31" s="148"/>
      <c r="R31" s="148"/>
      <c r="S31" s="148"/>
      <c r="T31" s="148"/>
      <c r="U31" s="148"/>
      <c r="V31" s="147"/>
      <c r="W31" s="148"/>
      <c r="X31" s="148"/>
      <c r="Y31" s="148"/>
      <c r="Z31" s="147"/>
      <c r="AA31" s="120">
        <f t="shared" si="1"/>
        <v>0</v>
      </c>
      <c r="AB31" s="122"/>
      <c r="AC31" s="122"/>
      <c r="AD31" s="122"/>
    </row>
    <row r="32">
      <c r="A32" s="152">
        <v>44396.0</v>
      </c>
      <c r="B32" s="146" t="s">
        <v>93</v>
      </c>
      <c r="C32" s="148"/>
      <c r="D32" s="148"/>
      <c r="E32" s="148"/>
      <c r="F32" s="148"/>
      <c r="G32" s="148"/>
      <c r="H32" s="148"/>
      <c r="I32" s="148"/>
      <c r="J32" s="146">
        <v>-160.0</v>
      </c>
      <c r="K32" s="146">
        <v>160.0</v>
      </c>
      <c r="L32" s="148"/>
      <c r="M32" s="147"/>
      <c r="N32" s="148"/>
      <c r="O32" s="148"/>
      <c r="P32" s="148"/>
      <c r="Q32" s="148"/>
      <c r="R32" s="148"/>
      <c r="S32" s="148"/>
      <c r="T32" s="148"/>
      <c r="U32" s="148"/>
      <c r="V32" s="147"/>
      <c r="W32" s="148"/>
      <c r="X32" s="148"/>
      <c r="Y32" s="148"/>
      <c r="Z32" s="147"/>
      <c r="AA32" s="120">
        <f t="shared" si="1"/>
        <v>0</v>
      </c>
      <c r="AB32" s="122"/>
      <c r="AC32" s="122"/>
      <c r="AD32" s="122"/>
    </row>
    <row r="33">
      <c r="A33" s="152">
        <v>44389.0</v>
      </c>
      <c r="B33" s="146" t="s">
        <v>93</v>
      </c>
      <c r="C33" s="148"/>
      <c r="D33" s="148"/>
      <c r="E33" s="148"/>
      <c r="F33" s="148"/>
      <c r="G33" s="148"/>
      <c r="H33" s="148"/>
      <c r="I33" s="148"/>
      <c r="J33" s="146">
        <v>-160.0</v>
      </c>
      <c r="K33" s="146">
        <v>160.0</v>
      </c>
      <c r="L33" s="148"/>
      <c r="M33" s="147"/>
      <c r="N33" s="148"/>
      <c r="O33" s="148"/>
      <c r="P33" s="148"/>
      <c r="Q33" s="148"/>
      <c r="R33" s="148"/>
      <c r="S33" s="148"/>
      <c r="T33" s="148"/>
      <c r="U33" s="148"/>
      <c r="V33" s="147"/>
      <c r="W33" s="148"/>
      <c r="X33" s="148"/>
      <c r="Y33" s="148"/>
      <c r="Z33" s="147"/>
      <c r="AA33" s="120">
        <f t="shared" si="1"/>
        <v>0</v>
      </c>
      <c r="AB33" s="121"/>
      <c r="AC33" s="122"/>
      <c r="AD33" s="122"/>
    </row>
    <row r="34">
      <c r="A34" s="152">
        <v>44382.0</v>
      </c>
      <c r="B34" s="146" t="s">
        <v>93</v>
      </c>
      <c r="C34" s="148"/>
      <c r="D34" s="148"/>
      <c r="E34" s="148"/>
      <c r="F34" s="148"/>
      <c r="G34" s="148"/>
      <c r="H34" s="148"/>
      <c r="I34" s="148"/>
      <c r="J34" s="146">
        <v>-160.0</v>
      </c>
      <c r="K34" s="146">
        <v>160.0</v>
      </c>
      <c r="L34" s="148"/>
      <c r="M34" s="147"/>
      <c r="N34" s="148"/>
      <c r="O34" s="148"/>
      <c r="P34" s="148"/>
      <c r="Q34" s="148"/>
      <c r="R34" s="148"/>
      <c r="S34" s="148"/>
      <c r="T34" s="148"/>
      <c r="U34" s="148"/>
      <c r="V34" s="147"/>
      <c r="W34" s="148"/>
      <c r="X34" s="148"/>
      <c r="Y34" s="148"/>
      <c r="Z34" s="147"/>
      <c r="AA34" s="120">
        <f t="shared" si="1"/>
        <v>0</v>
      </c>
      <c r="AB34" s="121"/>
      <c r="AC34" s="111"/>
      <c r="AD34" s="111"/>
    </row>
    <row r="35">
      <c r="A35" s="152">
        <v>44409.0</v>
      </c>
      <c r="B35" s="146" t="s">
        <v>94</v>
      </c>
      <c r="C35" s="148"/>
      <c r="D35" s="148"/>
      <c r="E35" s="148"/>
      <c r="F35" s="148"/>
      <c r="G35" s="148"/>
      <c r="H35" s="148"/>
      <c r="I35" s="148"/>
      <c r="J35" s="146">
        <v>218.08</v>
      </c>
      <c r="K35" s="147"/>
      <c r="L35" s="148"/>
      <c r="M35" s="147"/>
      <c r="N35" s="148"/>
      <c r="O35" s="148"/>
      <c r="P35" s="148"/>
      <c r="Q35" s="148"/>
      <c r="R35" s="148"/>
      <c r="S35" s="148"/>
      <c r="T35" s="148"/>
      <c r="U35" s="148"/>
      <c r="V35" s="147"/>
      <c r="W35" s="148"/>
      <c r="X35" s="148"/>
      <c r="Y35" s="148"/>
      <c r="Z35" s="146">
        <v>218.08</v>
      </c>
      <c r="AA35" s="120">
        <f t="shared" si="1"/>
        <v>0</v>
      </c>
      <c r="AB35" s="111"/>
      <c r="AC35" s="111"/>
      <c r="AD35" s="111"/>
    </row>
    <row r="36">
      <c r="A36" s="152">
        <v>44400.0</v>
      </c>
      <c r="B36" s="146" t="s">
        <v>95</v>
      </c>
      <c r="C36" s="148"/>
      <c r="D36" s="148"/>
      <c r="E36" s="148"/>
      <c r="F36" s="148"/>
      <c r="G36" s="148"/>
      <c r="H36" s="148"/>
      <c r="I36" s="148"/>
      <c r="J36" s="147"/>
      <c r="K36" s="148"/>
      <c r="L36" s="148"/>
      <c r="M36" s="146" t="s">
        <v>72</v>
      </c>
      <c r="N36" s="146">
        <v>301.76</v>
      </c>
      <c r="O36" s="148"/>
      <c r="P36" s="148"/>
      <c r="Q36" s="148"/>
      <c r="R36" s="148"/>
      <c r="S36" s="148"/>
      <c r="T36" s="146">
        <v>301.76</v>
      </c>
      <c r="U36" s="148"/>
      <c r="V36" s="147"/>
      <c r="W36" s="148"/>
      <c r="X36" s="148"/>
      <c r="Y36" s="147"/>
      <c r="Z36" s="147"/>
      <c r="AA36" s="120">
        <f t="shared" si="1"/>
        <v>0</v>
      </c>
      <c r="AB36" s="122"/>
      <c r="AC36" s="122"/>
      <c r="AD36" s="122"/>
    </row>
    <row r="37">
      <c r="A37" s="152">
        <v>44387.0</v>
      </c>
      <c r="B37" s="146" t="s">
        <v>199</v>
      </c>
      <c r="C37" s="148"/>
      <c r="D37" s="148"/>
      <c r="E37" s="148"/>
      <c r="F37" s="148"/>
      <c r="G37" s="148"/>
      <c r="H37" s="148"/>
      <c r="I37" s="148"/>
      <c r="J37" s="146">
        <v>-13236.96</v>
      </c>
      <c r="K37" s="148"/>
      <c r="L37" s="148"/>
      <c r="M37" s="147"/>
      <c r="N37" s="148"/>
      <c r="O37" s="148"/>
      <c r="P37" s="148"/>
      <c r="Q37" s="148"/>
      <c r="R37" s="148"/>
      <c r="S37" s="148"/>
      <c r="T37" s="146">
        <v>-13236.96</v>
      </c>
      <c r="U37" s="148"/>
      <c r="V37" s="147"/>
      <c r="W37" s="148"/>
      <c r="X37" s="148"/>
      <c r="Y37" s="148"/>
      <c r="Z37" s="147"/>
      <c r="AA37" s="120">
        <f t="shared" si="1"/>
        <v>0</v>
      </c>
      <c r="AB37" s="123"/>
      <c r="AC37" s="122"/>
      <c r="AD37" s="122"/>
    </row>
    <row r="38">
      <c r="A38" s="146">
        <v>26.0</v>
      </c>
      <c r="B38" s="146" t="s">
        <v>200</v>
      </c>
      <c r="C38" s="148"/>
      <c r="D38" s="146">
        <v>-4861.0</v>
      </c>
      <c r="E38" s="148"/>
      <c r="F38" s="148"/>
      <c r="G38" s="148"/>
      <c r="H38" s="148"/>
      <c r="I38" s="148"/>
      <c r="J38" s="148"/>
      <c r="K38" s="148"/>
      <c r="L38" s="148"/>
      <c r="M38" s="146" t="s">
        <v>72</v>
      </c>
      <c r="N38" s="146">
        <v>4861.0</v>
      </c>
      <c r="O38" s="148"/>
      <c r="P38" s="148"/>
      <c r="Q38" s="148"/>
      <c r="R38" s="148"/>
      <c r="S38" s="148"/>
      <c r="T38" s="147"/>
      <c r="U38" s="148"/>
      <c r="V38" s="147"/>
      <c r="W38" s="148"/>
      <c r="X38" s="148"/>
      <c r="Y38" s="148"/>
      <c r="Z38" s="147"/>
      <c r="AA38" s="120">
        <f t="shared" si="1"/>
        <v>0</v>
      </c>
      <c r="AB38" s="122"/>
      <c r="AC38" s="122"/>
      <c r="AD38" s="122"/>
    </row>
    <row r="39">
      <c r="A39" s="146">
        <v>31.0</v>
      </c>
      <c r="B39" s="146" t="s">
        <v>200</v>
      </c>
      <c r="C39" s="148"/>
      <c r="D39" s="146">
        <v>-6154.0</v>
      </c>
      <c r="E39" s="148"/>
      <c r="F39" s="148"/>
      <c r="G39" s="148"/>
      <c r="H39" s="148"/>
      <c r="I39" s="148"/>
      <c r="J39" s="148"/>
      <c r="K39" s="148"/>
      <c r="L39" s="148"/>
      <c r="M39" s="146" t="s">
        <v>72</v>
      </c>
      <c r="N39" s="146">
        <v>6154.0</v>
      </c>
      <c r="O39" s="148"/>
      <c r="P39" s="148"/>
      <c r="Q39" s="148"/>
      <c r="R39" s="148"/>
      <c r="S39" s="148"/>
      <c r="T39" s="147"/>
      <c r="U39" s="148"/>
      <c r="V39" s="147"/>
      <c r="W39" s="148"/>
      <c r="X39" s="148"/>
      <c r="Y39" s="148"/>
      <c r="Z39" s="147"/>
      <c r="AA39" s="120">
        <f t="shared" si="1"/>
        <v>0</v>
      </c>
      <c r="AB39" s="121"/>
      <c r="AC39" s="122"/>
      <c r="AD39" s="122"/>
    </row>
    <row r="40">
      <c r="A40" s="146">
        <v>23.0</v>
      </c>
      <c r="B40" s="146" t="s">
        <v>98</v>
      </c>
      <c r="C40" s="148"/>
      <c r="D40" s="146">
        <v>-233.0</v>
      </c>
      <c r="E40" s="148"/>
      <c r="F40" s="148"/>
      <c r="G40" s="148"/>
      <c r="H40" s="148"/>
      <c r="I40" s="148"/>
      <c r="J40" s="147"/>
      <c r="K40" s="148"/>
      <c r="L40" s="148"/>
      <c r="M40" s="146" t="s">
        <v>72</v>
      </c>
      <c r="N40" s="146">
        <v>233.0</v>
      </c>
      <c r="O40" s="148"/>
      <c r="P40" s="148"/>
      <c r="Q40" s="148"/>
      <c r="R40" s="148"/>
      <c r="S40" s="148"/>
      <c r="T40" s="147"/>
      <c r="U40" s="148"/>
      <c r="V40" s="147"/>
      <c r="W40" s="148"/>
      <c r="X40" s="148"/>
      <c r="Y40" s="148"/>
      <c r="Z40" s="147"/>
      <c r="AA40" s="120">
        <f t="shared" si="1"/>
        <v>0</v>
      </c>
      <c r="AB40" s="121"/>
      <c r="AC40" s="122"/>
      <c r="AD40" s="122"/>
    </row>
    <row r="41">
      <c r="A41" s="146">
        <v>17.0</v>
      </c>
      <c r="B41" s="146" t="s">
        <v>98</v>
      </c>
      <c r="C41" s="148"/>
      <c r="D41" s="146">
        <v>-410.0</v>
      </c>
      <c r="E41" s="148"/>
      <c r="F41" s="148"/>
      <c r="G41" s="148"/>
      <c r="H41" s="148"/>
      <c r="I41" s="148"/>
      <c r="J41" s="148"/>
      <c r="K41" s="148"/>
      <c r="L41" s="148"/>
      <c r="M41" s="146" t="s">
        <v>72</v>
      </c>
      <c r="N41" s="146">
        <v>410.0</v>
      </c>
      <c r="O41" s="148"/>
      <c r="P41" s="148"/>
      <c r="Q41" s="148"/>
      <c r="R41" s="148"/>
      <c r="S41" s="148"/>
      <c r="T41" s="148"/>
      <c r="U41" s="148"/>
      <c r="V41" s="147"/>
      <c r="W41" s="148"/>
      <c r="X41" s="148"/>
      <c r="Y41" s="148"/>
      <c r="Z41" s="147"/>
      <c r="AA41" s="120">
        <f t="shared" si="1"/>
        <v>0</v>
      </c>
      <c r="AB41" s="122"/>
      <c r="AC41" s="122"/>
      <c r="AD41" s="122"/>
    </row>
    <row r="42">
      <c r="A42" s="146">
        <v>23.0</v>
      </c>
      <c r="B42" s="146" t="s">
        <v>98</v>
      </c>
      <c r="C42" s="148"/>
      <c r="D42" s="146">
        <v>-3697.0</v>
      </c>
      <c r="E42" s="148"/>
      <c r="F42" s="148"/>
      <c r="G42" s="148"/>
      <c r="H42" s="148"/>
      <c r="I42" s="148"/>
      <c r="J42" s="148"/>
      <c r="K42" s="148"/>
      <c r="L42" s="148"/>
      <c r="M42" s="146" t="s">
        <v>72</v>
      </c>
      <c r="N42" s="146">
        <v>3697.0</v>
      </c>
      <c r="O42" s="148"/>
      <c r="P42" s="148"/>
      <c r="Q42" s="148"/>
      <c r="R42" s="148"/>
      <c r="S42" s="148"/>
      <c r="T42" s="148"/>
      <c r="U42" s="148"/>
      <c r="V42" s="147"/>
      <c r="W42" s="148"/>
      <c r="X42" s="148"/>
      <c r="Y42" s="148"/>
      <c r="Z42" s="147"/>
      <c r="AA42" s="120">
        <f t="shared" si="1"/>
        <v>0</v>
      </c>
      <c r="AB42" s="121"/>
      <c r="AC42" s="111"/>
      <c r="AD42" s="111"/>
    </row>
    <row r="43">
      <c r="A43" s="146">
        <v>26.0</v>
      </c>
      <c r="B43" s="146" t="s">
        <v>98</v>
      </c>
      <c r="C43" s="148"/>
      <c r="D43" s="146">
        <v>-151.0</v>
      </c>
      <c r="E43" s="148"/>
      <c r="F43" s="148"/>
      <c r="G43" s="148"/>
      <c r="H43" s="148"/>
      <c r="I43" s="148"/>
      <c r="J43" s="148"/>
      <c r="K43" s="148"/>
      <c r="L43" s="148"/>
      <c r="M43" s="146" t="s">
        <v>72</v>
      </c>
      <c r="N43" s="146">
        <v>151.0</v>
      </c>
      <c r="O43" s="148"/>
      <c r="P43" s="148"/>
      <c r="Q43" s="148"/>
      <c r="R43" s="148"/>
      <c r="S43" s="148"/>
      <c r="T43" s="148"/>
      <c r="U43" s="148"/>
      <c r="V43" s="147"/>
      <c r="W43" s="148"/>
      <c r="X43" s="148"/>
      <c r="Y43" s="148"/>
      <c r="Z43" s="147"/>
      <c r="AA43" s="120">
        <f t="shared" si="1"/>
        <v>0</v>
      </c>
      <c r="AB43" s="121"/>
      <c r="AC43" s="111"/>
      <c r="AD43" s="111"/>
    </row>
    <row r="44">
      <c r="A44" s="146">
        <v>23.0</v>
      </c>
      <c r="B44" s="146" t="s">
        <v>98</v>
      </c>
      <c r="C44" s="148"/>
      <c r="D44" s="146">
        <v>-1492.0</v>
      </c>
      <c r="E44" s="148"/>
      <c r="F44" s="148"/>
      <c r="G44" s="148"/>
      <c r="H44" s="148"/>
      <c r="I44" s="148"/>
      <c r="J44" s="148"/>
      <c r="K44" s="148"/>
      <c r="L44" s="148"/>
      <c r="M44" s="146" t="s">
        <v>72</v>
      </c>
      <c r="N44" s="146">
        <v>1492.0</v>
      </c>
      <c r="O44" s="148"/>
      <c r="P44" s="148"/>
      <c r="Q44" s="148"/>
      <c r="R44" s="148"/>
      <c r="S44" s="148"/>
      <c r="T44" s="148"/>
      <c r="U44" s="148"/>
      <c r="V44" s="147"/>
      <c r="W44" s="148"/>
      <c r="X44" s="148"/>
      <c r="Y44" s="148"/>
      <c r="Z44" s="147"/>
      <c r="AA44" s="120">
        <f t="shared" si="1"/>
        <v>0</v>
      </c>
      <c r="AB44" s="121"/>
      <c r="AC44" s="122"/>
      <c r="AD44" s="122"/>
    </row>
    <row r="45">
      <c r="A45" s="146">
        <v>25.0</v>
      </c>
      <c r="B45" s="146" t="s">
        <v>98</v>
      </c>
      <c r="C45" s="148"/>
      <c r="D45" s="146">
        <v>-2116.0</v>
      </c>
      <c r="E45" s="148"/>
      <c r="F45" s="148"/>
      <c r="G45" s="148"/>
      <c r="H45" s="148"/>
      <c r="I45" s="148"/>
      <c r="J45" s="148"/>
      <c r="K45" s="148"/>
      <c r="L45" s="148"/>
      <c r="M45" s="146" t="s">
        <v>72</v>
      </c>
      <c r="N45" s="146">
        <v>2116.0</v>
      </c>
      <c r="O45" s="148"/>
      <c r="P45" s="148"/>
      <c r="Q45" s="148"/>
      <c r="R45" s="148"/>
      <c r="S45" s="148"/>
      <c r="T45" s="148"/>
      <c r="U45" s="148"/>
      <c r="V45" s="147"/>
      <c r="W45" s="148"/>
      <c r="X45" s="148"/>
      <c r="Y45" s="148"/>
      <c r="Z45" s="147"/>
      <c r="AA45" s="120">
        <f t="shared" si="1"/>
        <v>0</v>
      </c>
      <c r="AB45" s="111"/>
      <c r="AC45" s="111"/>
      <c r="AD45" s="111"/>
    </row>
    <row r="46">
      <c r="A46" s="146">
        <v>24.0</v>
      </c>
      <c r="B46" s="146" t="s">
        <v>98</v>
      </c>
      <c r="C46" s="148"/>
      <c r="D46" s="146">
        <v>-573.0</v>
      </c>
      <c r="E46" s="148"/>
      <c r="F46" s="148"/>
      <c r="G46" s="148"/>
      <c r="H46" s="148"/>
      <c r="I46" s="148"/>
      <c r="J46" s="148"/>
      <c r="K46" s="148"/>
      <c r="L46" s="148"/>
      <c r="M46" s="146" t="s">
        <v>72</v>
      </c>
      <c r="N46" s="146">
        <v>573.0</v>
      </c>
      <c r="O46" s="148"/>
      <c r="P46" s="148"/>
      <c r="Q46" s="148"/>
      <c r="R46" s="148"/>
      <c r="S46" s="148"/>
      <c r="T46" s="148"/>
      <c r="U46" s="148"/>
      <c r="V46" s="147"/>
      <c r="W46" s="148"/>
      <c r="X46" s="148"/>
      <c r="Y46" s="148"/>
      <c r="Z46" s="147"/>
      <c r="AA46" s="120">
        <f t="shared" si="1"/>
        <v>0</v>
      </c>
      <c r="AB46" s="121"/>
      <c r="AC46" s="122"/>
      <c r="AD46" s="122"/>
    </row>
    <row r="47">
      <c r="A47" s="146">
        <v>25.0</v>
      </c>
      <c r="B47" s="146" t="s">
        <v>98</v>
      </c>
      <c r="C47" s="148"/>
      <c r="D47" s="146">
        <v>-420.0</v>
      </c>
      <c r="E47" s="148"/>
      <c r="F47" s="148"/>
      <c r="G47" s="148"/>
      <c r="H47" s="148"/>
      <c r="I47" s="148"/>
      <c r="J47" s="148"/>
      <c r="K47" s="148"/>
      <c r="L47" s="148"/>
      <c r="M47" s="146" t="s">
        <v>72</v>
      </c>
      <c r="N47" s="146">
        <v>420.0</v>
      </c>
      <c r="O47" s="148"/>
      <c r="P47" s="148"/>
      <c r="Q47" s="147"/>
      <c r="R47" s="148"/>
      <c r="S47" s="148"/>
      <c r="T47" s="148"/>
      <c r="U47" s="148"/>
      <c r="V47" s="147"/>
      <c r="W47" s="148"/>
      <c r="X47" s="148"/>
      <c r="Y47" s="148"/>
      <c r="Z47" s="147"/>
      <c r="AA47" s="120">
        <f t="shared" si="1"/>
        <v>0</v>
      </c>
      <c r="AB47" s="122"/>
      <c r="AC47" s="122"/>
      <c r="AD47" s="122"/>
    </row>
    <row r="48">
      <c r="A48" s="146">
        <v>28.0</v>
      </c>
      <c r="B48" s="146" t="s">
        <v>99</v>
      </c>
      <c r="C48" s="148"/>
      <c r="D48" s="146">
        <v>-176.0</v>
      </c>
      <c r="E48" s="148"/>
      <c r="F48" s="148"/>
      <c r="G48" s="148"/>
      <c r="H48" s="148"/>
      <c r="I48" s="148"/>
      <c r="J48" s="148"/>
      <c r="K48" s="148"/>
      <c r="L48" s="148"/>
      <c r="M48" s="146" t="s">
        <v>72</v>
      </c>
      <c r="N48" s="148"/>
      <c r="O48" s="148"/>
      <c r="P48" s="148"/>
      <c r="Q48" s="146">
        <v>176.0</v>
      </c>
      <c r="R48" s="148"/>
      <c r="S48" s="148"/>
      <c r="T48" s="148"/>
      <c r="U48" s="148"/>
      <c r="V48" s="147"/>
      <c r="W48" s="148"/>
      <c r="X48" s="148"/>
      <c r="Y48" s="148"/>
      <c r="Z48" s="147"/>
      <c r="AA48" s="120">
        <f t="shared" si="1"/>
        <v>0</v>
      </c>
      <c r="AB48" s="121"/>
      <c r="AC48" s="122"/>
      <c r="AD48" s="122"/>
    </row>
    <row r="49">
      <c r="A49" s="146">
        <v>23.0</v>
      </c>
      <c r="B49" s="146" t="s">
        <v>99</v>
      </c>
      <c r="C49" s="148"/>
      <c r="D49" s="146">
        <v>-1601.0</v>
      </c>
      <c r="E49" s="148"/>
      <c r="F49" s="148"/>
      <c r="G49" s="148"/>
      <c r="H49" s="148"/>
      <c r="I49" s="148"/>
      <c r="J49" s="148"/>
      <c r="K49" s="148"/>
      <c r="L49" s="148"/>
      <c r="M49" s="146" t="s">
        <v>72</v>
      </c>
      <c r="N49" s="148"/>
      <c r="O49" s="147"/>
      <c r="P49" s="148"/>
      <c r="Q49" s="146">
        <v>1601.0</v>
      </c>
      <c r="R49" s="148"/>
      <c r="S49" s="148"/>
      <c r="T49" s="148"/>
      <c r="U49" s="148"/>
      <c r="V49" s="147"/>
      <c r="W49" s="148"/>
      <c r="X49" s="148"/>
      <c r="Y49" s="148"/>
      <c r="Z49" s="147"/>
      <c r="AA49" s="120">
        <f t="shared" si="1"/>
        <v>0</v>
      </c>
      <c r="AB49" s="111"/>
      <c r="AC49" s="111"/>
      <c r="AD49" s="111"/>
    </row>
    <row r="50">
      <c r="A50" s="146">
        <v>15.0</v>
      </c>
      <c r="B50" s="146" t="s">
        <v>29</v>
      </c>
      <c r="C50" s="146">
        <v>148000.0</v>
      </c>
      <c r="D50" s="147"/>
      <c r="E50" s="148"/>
      <c r="F50" s="148"/>
      <c r="G50" s="148"/>
      <c r="H50" s="148"/>
      <c r="I50" s="148"/>
      <c r="J50" s="148"/>
      <c r="K50" s="148"/>
      <c r="L50" s="148"/>
      <c r="M50" s="147"/>
      <c r="N50" s="148"/>
      <c r="O50" s="147"/>
      <c r="P50" s="148"/>
      <c r="Q50" s="148"/>
      <c r="R50" s="148"/>
      <c r="S50" s="148"/>
      <c r="T50" s="148"/>
      <c r="U50" s="148"/>
      <c r="V50" s="147"/>
      <c r="W50" s="148"/>
      <c r="X50" s="146">
        <v>148000.0</v>
      </c>
      <c r="Y50" s="148"/>
      <c r="Z50" s="147"/>
      <c r="AA50" s="120">
        <f t="shared" si="1"/>
        <v>0</v>
      </c>
      <c r="AB50" s="121"/>
      <c r="AC50" s="122"/>
      <c r="AD50" s="122"/>
    </row>
    <row r="51">
      <c r="A51" s="146">
        <v>5.0</v>
      </c>
      <c r="B51" s="146" t="s">
        <v>103</v>
      </c>
      <c r="C51" s="146">
        <v>-30000.0</v>
      </c>
      <c r="D51" s="146">
        <v>30000.0</v>
      </c>
      <c r="E51" s="148"/>
      <c r="F51" s="148"/>
      <c r="G51" s="148"/>
      <c r="H51" s="148"/>
      <c r="I51" s="148"/>
      <c r="J51" s="148"/>
      <c r="K51" s="148"/>
      <c r="L51" s="148"/>
      <c r="M51" s="147"/>
      <c r="N51" s="148"/>
      <c r="O51" s="148"/>
      <c r="P51" s="148"/>
      <c r="Q51" s="147"/>
      <c r="R51" s="148"/>
      <c r="S51" s="148"/>
      <c r="T51" s="148"/>
      <c r="U51" s="148"/>
      <c r="V51" s="147"/>
      <c r="W51" s="148"/>
      <c r="X51" s="148"/>
      <c r="Y51" s="148"/>
      <c r="Z51" s="147"/>
      <c r="AA51" s="120">
        <f t="shared" si="1"/>
        <v>0</v>
      </c>
      <c r="AB51" s="121"/>
      <c r="AC51" s="111"/>
      <c r="AD51" s="111"/>
    </row>
    <row r="52">
      <c r="A52" s="146">
        <v>31.0</v>
      </c>
      <c r="B52" s="146" t="s">
        <v>103</v>
      </c>
      <c r="C52" s="146">
        <v>-20000.0</v>
      </c>
      <c r="D52" s="146">
        <v>20000.0</v>
      </c>
      <c r="E52" s="148"/>
      <c r="F52" s="148"/>
      <c r="G52" s="148"/>
      <c r="H52" s="148"/>
      <c r="I52" s="148"/>
      <c r="J52" s="148"/>
      <c r="K52" s="148"/>
      <c r="L52" s="148"/>
      <c r="M52" s="147"/>
      <c r="N52" s="148"/>
      <c r="O52" s="148"/>
      <c r="P52" s="148"/>
      <c r="Q52" s="147"/>
      <c r="R52" s="148"/>
      <c r="S52" s="148"/>
      <c r="T52" s="148"/>
      <c r="U52" s="148"/>
      <c r="V52" s="147"/>
      <c r="W52" s="148"/>
      <c r="X52" s="148"/>
      <c r="Y52" s="148"/>
      <c r="Z52" s="147"/>
      <c r="AA52" s="120">
        <f t="shared" si="1"/>
        <v>0</v>
      </c>
      <c r="AB52" s="121"/>
      <c r="AC52" s="111"/>
      <c r="AD52" s="111"/>
    </row>
    <row r="53">
      <c r="A53" s="146">
        <v>26.0</v>
      </c>
      <c r="B53" s="146" t="s">
        <v>122</v>
      </c>
      <c r="C53" s="146">
        <v>-42558.0</v>
      </c>
      <c r="D53" s="148"/>
      <c r="E53" s="148"/>
      <c r="F53" s="148"/>
      <c r="G53" s="148"/>
      <c r="H53" s="148"/>
      <c r="I53" s="148"/>
      <c r="J53" s="148"/>
      <c r="K53" s="148"/>
      <c r="L53" s="148"/>
      <c r="M53" s="147"/>
      <c r="N53" s="148"/>
      <c r="O53" s="148"/>
      <c r="P53" s="148"/>
      <c r="Q53" s="148"/>
      <c r="R53" s="148"/>
      <c r="S53" s="148"/>
      <c r="T53" s="148"/>
      <c r="U53" s="146">
        <v>-42558.0</v>
      </c>
      <c r="V53" s="147"/>
      <c r="W53" s="148"/>
      <c r="X53" s="147"/>
      <c r="Y53" s="148"/>
      <c r="Z53" s="147"/>
      <c r="AA53" s="120">
        <f t="shared" si="1"/>
        <v>0</v>
      </c>
      <c r="AB53" s="111"/>
      <c r="AC53" s="111"/>
      <c r="AD53" s="111"/>
    </row>
    <row r="54">
      <c r="A54" s="146">
        <v>26.0</v>
      </c>
      <c r="B54" s="146" t="s">
        <v>122</v>
      </c>
      <c r="C54" s="146">
        <v>-23067.0</v>
      </c>
      <c r="D54" s="147"/>
      <c r="E54" s="148"/>
      <c r="F54" s="148"/>
      <c r="G54" s="148"/>
      <c r="H54" s="148"/>
      <c r="I54" s="148"/>
      <c r="J54" s="148"/>
      <c r="K54" s="148"/>
      <c r="L54" s="148"/>
      <c r="M54" s="147"/>
      <c r="N54" s="148"/>
      <c r="O54" s="148"/>
      <c r="P54" s="148"/>
      <c r="Q54" s="148"/>
      <c r="R54" s="148"/>
      <c r="S54" s="148"/>
      <c r="T54" s="148"/>
      <c r="U54" s="146">
        <v>-23067.0</v>
      </c>
      <c r="V54" s="147"/>
      <c r="W54" s="148"/>
      <c r="X54" s="148"/>
      <c r="Y54" s="148"/>
      <c r="Z54" s="147"/>
      <c r="AA54" s="120">
        <f t="shared" si="1"/>
        <v>0</v>
      </c>
      <c r="AB54" s="122"/>
      <c r="AC54" s="122"/>
      <c r="AD54" s="122"/>
    </row>
    <row r="55">
      <c r="A55" s="146">
        <v>8.0</v>
      </c>
      <c r="B55" s="146" t="s">
        <v>179</v>
      </c>
      <c r="C55" s="147"/>
      <c r="D55" s="148"/>
      <c r="E55" s="148"/>
      <c r="F55" s="148"/>
      <c r="G55" s="148"/>
      <c r="H55" s="148"/>
      <c r="I55" s="146">
        <f>16*9000</f>
        <v>144000</v>
      </c>
      <c r="J55" s="148"/>
      <c r="K55" s="148"/>
      <c r="L55" s="148"/>
      <c r="M55" s="147"/>
      <c r="N55" s="148"/>
      <c r="O55" s="148"/>
      <c r="P55" s="148"/>
      <c r="Q55" s="148"/>
      <c r="R55" s="148"/>
      <c r="S55" s="148"/>
      <c r="T55" s="148"/>
      <c r="U55" s="147"/>
      <c r="V55" s="147"/>
      <c r="W55" s="148"/>
      <c r="X55" s="148"/>
      <c r="Y55" s="148"/>
      <c r="Z55" s="147">
        <f>16*9000</f>
        <v>144000</v>
      </c>
      <c r="AA55" s="120">
        <f t="shared" si="1"/>
        <v>0</v>
      </c>
      <c r="AB55" s="121"/>
      <c r="AC55" s="122"/>
      <c r="AD55" s="122"/>
    </row>
    <row r="56">
      <c r="A56" s="127"/>
      <c r="B56" s="127" t="s">
        <v>178</v>
      </c>
      <c r="C56" s="127"/>
      <c r="D56" s="128"/>
      <c r="E56" s="128"/>
      <c r="F56" s="128"/>
      <c r="G56" s="128"/>
      <c r="H56" s="127">
        <v>-1680.0</v>
      </c>
      <c r="I56" s="128"/>
      <c r="J56" s="128"/>
      <c r="K56" s="128"/>
      <c r="L56" s="128"/>
      <c r="M56" s="127" t="s">
        <v>81</v>
      </c>
      <c r="N56" s="128"/>
      <c r="O56" s="128"/>
      <c r="P56" s="128"/>
      <c r="Q56" s="127">
        <v>1680.0</v>
      </c>
      <c r="R56" s="128"/>
      <c r="S56" s="128"/>
      <c r="T56" s="128"/>
      <c r="U56" s="127"/>
      <c r="V56" s="129"/>
      <c r="W56" s="128"/>
      <c r="X56" s="128"/>
      <c r="Y56" s="128"/>
      <c r="Z56" s="129"/>
      <c r="AA56" s="120">
        <f t="shared" si="1"/>
        <v>0</v>
      </c>
      <c r="AB56" s="122"/>
      <c r="AC56" s="122"/>
      <c r="AD56" s="122"/>
    </row>
    <row r="57">
      <c r="A57" s="124"/>
      <c r="B57" s="124" t="s">
        <v>201</v>
      </c>
      <c r="C57" s="122"/>
      <c r="D57" s="122"/>
      <c r="E57" s="124"/>
      <c r="F57" s="124"/>
      <c r="G57" s="122"/>
      <c r="H57" s="122"/>
      <c r="I57" s="122">
        <f>16*13000</f>
        <v>208000</v>
      </c>
      <c r="J57" s="122"/>
      <c r="K57" s="122"/>
      <c r="L57" s="122"/>
      <c r="M57" s="124"/>
      <c r="N57" s="124"/>
      <c r="O57" s="122"/>
      <c r="P57" s="122"/>
      <c r="Q57" s="122"/>
      <c r="R57" s="122"/>
      <c r="S57" s="122"/>
      <c r="T57" s="122"/>
      <c r="U57" s="122"/>
      <c r="V57" s="124"/>
      <c r="W57" s="122"/>
      <c r="X57" s="122"/>
      <c r="Y57" s="122"/>
      <c r="Z57" s="124">
        <v>208000.0</v>
      </c>
      <c r="AA57" s="120">
        <f t="shared" si="1"/>
        <v>0</v>
      </c>
      <c r="AB57" s="122"/>
      <c r="AC57" s="122"/>
      <c r="AD57" s="122"/>
    </row>
    <row r="58">
      <c r="A58" s="124">
        <v>15.0</v>
      </c>
      <c r="B58" s="124" t="s">
        <v>202</v>
      </c>
      <c r="C58" s="122"/>
      <c r="D58" s="122">
        <f>-420-3300</f>
        <v>-3720</v>
      </c>
      <c r="E58" s="124"/>
      <c r="F58" s="124"/>
      <c r="G58" s="122"/>
      <c r="H58" s="122"/>
      <c r="I58" s="122"/>
      <c r="J58" s="122"/>
      <c r="K58" s="122"/>
      <c r="L58" s="122"/>
      <c r="M58" s="124" t="s">
        <v>72</v>
      </c>
      <c r="N58" s="124">
        <v>3720.0</v>
      </c>
      <c r="O58" s="122"/>
      <c r="P58" s="122"/>
      <c r="Q58" s="122"/>
      <c r="R58" s="122"/>
      <c r="S58" s="122"/>
      <c r="T58" s="122"/>
      <c r="U58" s="122"/>
      <c r="V58" s="124"/>
      <c r="W58" s="122"/>
      <c r="X58" s="122"/>
      <c r="Y58" s="122"/>
      <c r="Z58" s="124"/>
      <c r="AA58" s="120">
        <f t="shared" si="1"/>
        <v>0</v>
      </c>
      <c r="AB58" s="122"/>
      <c r="AC58" s="122"/>
      <c r="AD58" s="122"/>
    </row>
    <row r="59">
      <c r="A59" s="124">
        <v>23.0</v>
      </c>
      <c r="B59" s="124" t="s">
        <v>203</v>
      </c>
      <c r="C59" s="122"/>
      <c r="D59" s="124">
        <v>-800.0</v>
      </c>
      <c r="E59" s="122"/>
      <c r="F59" s="122"/>
      <c r="G59" s="122"/>
      <c r="H59" s="122"/>
      <c r="I59" s="122"/>
      <c r="J59" s="122"/>
      <c r="K59" s="122"/>
      <c r="L59" s="122"/>
      <c r="M59" s="124" t="s">
        <v>72</v>
      </c>
      <c r="N59" s="124">
        <v>800.0</v>
      </c>
      <c r="O59" s="122"/>
      <c r="P59" s="122"/>
      <c r="Q59" s="122"/>
      <c r="R59" s="122"/>
      <c r="S59" s="122"/>
      <c r="T59" s="122"/>
      <c r="U59" s="122"/>
      <c r="V59" s="124"/>
      <c r="W59" s="122"/>
      <c r="X59" s="122"/>
      <c r="Y59" s="122"/>
      <c r="Z59" s="124"/>
      <c r="AA59" s="120">
        <f t="shared" si="1"/>
        <v>0</v>
      </c>
      <c r="AB59" s="122"/>
      <c r="AC59" s="122"/>
      <c r="AD59" s="122"/>
    </row>
    <row r="60">
      <c r="A60" s="124"/>
      <c r="B60" s="124"/>
      <c r="C60" s="122"/>
      <c r="D60" s="124"/>
      <c r="E60" s="122"/>
      <c r="F60" s="122"/>
      <c r="G60" s="122"/>
      <c r="H60" s="122"/>
      <c r="I60" s="122"/>
      <c r="J60" s="122"/>
      <c r="K60" s="122"/>
      <c r="L60" s="122"/>
      <c r="M60" s="124"/>
      <c r="N60" s="122"/>
      <c r="O60" s="122"/>
      <c r="P60" s="122"/>
      <c r="Q60" s="124"/>
      <c r="R60" s="122"/>
      <c r="S60" s="122"/>
      <c r="T60" s="122"/>
      <c r="U60" s="122"/>
      <c r="V60" s="124"/>
      <c r="W60" s="122"/>
      <c r="X60" s="122"/>
      <c r="Y60" s="122"/>
      <c r="Z60" s="124"/>
      <c r="AA60" s="120">
        <f t="shared" si="1"/>
        <v>0</v>
      </c>
      <c r="AB60" s="111"/>
      <c r="AC60" s="111"/>
      <c r="AD60" s="111"/>
    </row>
    <row r="61">
      <c r="A61" s="124"/>
      <c r="B61" s="124"/>
      <c r="C61" s="122"/>
      <c r="D61" s="122"/>
      <c r="E61" s="122"/>
      <c r="F61" s="122"/>
      <c r="G61" s="122"/>
      <c r="H61" s="122"/>
      <c r="I61" s="122"/>
      <c r="J61" s="122"/>
      <c r="K61" s="122"/>
      <c r="L61" s="122"/>
      <c r="M61" s="124"/>
      <c r="N61" s="122"/>
      <c r="O61" s="122"/>
      <c r="P61" s="122"/>
      <c r="Q61" s="122"/>
      <c r="R61" s="122"/>
      <c r="S61" s="122"/>
      <c r="T61" s="122"/>
      <c r="U61" s="122"/>
      <c r="V61" s="124"/>
      <c r="W61" s="122"/>
      <c r="X61" s="122"/>
      <c r="Y61" s="122"/>
      <c r="Z61" s="124"/>
      <c r="AA61" s="120">
        <f t="shared" si="1"/>
        <v>0</v>
      </c>
      <c r="AB61" s="122"/>
      <c r="AC61" s="122"/>
      <c r="AD61" s="122"/>
    </row>
    <row r="62">
      <c r="A62" s="124"/>
      <c r="B62" s="124"/>
      <c r="C62" s="122"/>
      <c r="D62" s="122"/>
      <c r="E62" s="122"/>
      <c r="F62" s="122"/>
      <c r="G62" s="122"/>
      <c r="H62" s="124"/>
      <c r="I62" s="122"/>
      <c r="J62" s="122"/>
      <c r="K62" s="122"/>
      <c r="L62" s="122"/>
      <c r="M62" s="124"/>
      <c r="N62" s="124"/>
      <c r="O62" s="122"/>
      <c r="P62" s="122"/>
      <c r="Q62" s="122"/>
      <c r="R62" s="122"/>
      <c r="S62" s="122"/>
      <c r="T62" s="122"/>
      <c r="U62" s="122"/>
      <c r="V62" s="124"/>
      <c r="W62" s="122"/>
      <c r="X62" s="122"/>
      <c r="Y62" s="122"/>
      <c r="Z62" s="124"/>
      <c r="AA62" s="120">
        <f t="shared" si="1"/>
        <v>0</v>
      </c>
      <c r="AB62" s="122"/>
      <c r="AC62" s="122"/>
      <c r="AD62" s="122"/>
    </row>
    <row r="63">
      <c r="A63" s="124"/>
      <c r="B63" s="124"/>
      <c r="C63" s="122"/>
      <c r="D63" s="122"/>
      <c r="E63" s="122"/>
      <c r="F63" s="122"/>
      <c r="G63" s="122"/>
      <c r="H63" s="122"/>
      <c r="I63" s="122"/>
      <c r="J63" s="122"/>
      <c r="K63" s="122"/>
      <c r="L63" s="124"/>
      <c r="M63" s="124"/>
      <c r="N63" s="122"/>
      <c r="O63" s="122"/>
      <c r="P63" s="122"/>
      <c r="Q63" s="122"/>
      <c r="R63" s="122"/>
      <c r="S63" s="122"/>
      <c r="T63" s="122"/>
      <c r="U63" s="122"/>
      <c r="V63" s="124"/>
      <c r="W63" s="122"/>
      <c r="X63" s="122"/>
      <c r="Y63" s="122"/>
      <c r="Z63" s="124"/>
      <c r="AA63" s="120">
        <f t="shared" si="1"/>
        <v>0</v>
      </c>
      <c r="AB63" s="122"/>
      <c r="AC63" s="122"/>
      <c r="AD63" s="122"/>
    </row>
    <row r="64">
      <c r="A64" s="136"/>
      <c r="B64" s="127"/>
      <c r="C64" s="128"/>
      <c r="D64" s="128"/>
      <c r="E64" s="128"/>
      <c r="F64" s="128"/>
      <c r="G64" s="128"/>
      <c r="H64" s="128"/>
      <c r="I64" s="128"/>
      <c r="J64" s="128"/>
      <c r="K64" s="128"/>
      <c r="L64" s="128"/>
      <c r="M64" s="127"/>
      <c r="N64" s="127"/>
      <c r="O64" s="128"/>
      <c r="P64" s="128"/>
      <c r="Q64" s="128"/>
      <c r="R64" s="128"/>
      <c r="S64" s="128"/>
      <c r="T64" s="128"/>
      <c r="U64" s="127"/>
      <c r="V64" s="129"/>
      <c r="W64" s="128"/>
      <c r="X64" s="128"/>
      <c r="Y64" s="128"/>
      <c r="Z64" s="129"/>
      <c r="AA64" s="120">
        <f t="shared" si="1"/>
        <v>0</v>
      </c>
      <c r="AB64" s="122"/>
      <c r="AC64" s="122"/>
      <c r="AD64" s="122"/>
    </row>
    <row r="65">
      <c r="A65" s="136"/>
      <c r="B65" s="127"/>
      <c r="C65" s="128"/>
      <c r="D65" s="128"/>
      <c r="E65" s="128"/>
      <c r="F65" s="128"/>
      <c r="G65" s="128"/>
      <c r="H65" s="128"/>
      <c r="I65" s="128"/>
      <c r="J65" s="128"/>
      <c r="K65" s="128"/>
      <c r="L65" s="128"/>
      <c r="M65" s="127"/>
      <c r="N65" s="127"/>
      <c r="O65" s="128"/>
      <c r="P65" s="128"/>
      <c r="Q65" s="128"/>
      <c r="R65" s="128"/>
      <c r="S65" s="128"/>
      <c r="T65" s="128"/>
      <c r="U65" s="127"/>
      <c r="V65" s="129"/>
      <c r="W65" s="128"/>
      <c r="X65" s="128"/>
      <c r="Y65" s="128"/>
      <c r="Z65" s="129"/>
      <c r="AA65" s="120">
        <f t="shared" si="1"/>
        <v>0</v>
      </c>
      <c r="AB65" s="122"/>
      <c r="AC65" s="122"/>
      <c r="AD65" s="122"/>
    </row>
    <row r="66">
      <c r="A66" s="153"/>
      <c r="B66" s="125"/>
      <c r="C66" s="143"/>
      <c r="D66" s="143"/>
      <c r="E66" s="122"/>
      <c r="F66" s="122"/>
      <c r="G66" s="122"/>
      <c r="H66" s="122"/>
      <c r="I66" s="122"/>
      <c r="J66" s="122"/>
      <c r="K66" s="122"/>
      <c r="L66" s="122"/>
      <c r="M66" s="124"/>
      <c r="N66" s="122"/>
      <c r="O66" s="122"/>
      <c r="P66" s="122"/>
      <c r="Q66" s="122"/>
      <c r="R66" s="122"/>
      <c r="S66" s="122"/>
      <c r="T66" s="122"/>
      <c r="U66" s="122"/>
      <c r="V66" s="124"/>
      <c r="W66" s="122"/>
      <c r="X66" s="122"/>
      <c r="Y66" s="122"/>
      <c r="Z66" s="124"/>
      <c r="AA66" s="120">
        <f t="shared" si="1"/>
        <v>0</v>
      </c>
      <c r="AB66" s="122"/>
      <c r="AC66" s="122"/>
      <c r="AD66" s="122"/>
    </row>
    <row r="67">
      <c r="A67" s="153"/>
      <c r="B67" s="125"/>
      <c r="C67" s="143"/>
      <c r="D67" s="143"/>
      <c r="E67" s="122"/>
      <c r="F67" s="122"/>
      <c r="G67" s="122"/>
      <c r="H67" s="122"/>
      <c r="I67" s="122"/>
      <c r="J67" s="122"/>
      <c r="K67" s="122"/>
      <c r="L67" s="122"/>
      <c r="M67" s="124"/>
      <c r="N67" s="122"/>
      <c r="O67" s="122"/>
      <c r="P67" s="122"/>
      <c r="Q67" s="122"/>
      <c r="R67" s="122"/>
      <c r="S67" s="122"/>
      <c r="T67" s="122"/>
      <c r="U67" s="122"/>
      <c r="V67" s="124"/>
      <c r="W67" s="122"/>
      <c r="X67" s="122"/>
      <c r="Y67" s="122"/>
      <c r="Z67" s="124"/>
      <c r="AA67" s="120">
        <f t="shared" si="1"/>
        <v>0</v>
      </c>
      <c r="AB67" s="122"/>
      <c r="AC67" s="122"/>
      <c r="AD67" s="122"/>
    </row>
    <row r="68">
      <c r="A68" s="153"/>
      <c r="B68" s="125"/>
      <c r="C68" s="143"/>
      <c r="D68" s="143"/>
      <c r="E68" s="122"/>
      <c r="F68" s="122"/>
      <c r="G68" s="122"/>
      <c r="H68" s="122"/>
      <c r="I68" s="122"/>
      <c r="J68" s="122"/>
      <c r="K68" s="122"/>
      <c r="L68" s="122"/>
      <c r="M68" s="124"/>
      <c r="N68" s="122"/>
      <c r="O68" s="122"/>
      <c r="P68" s="122"/>
      <c r="Q68" s="122"/>
      <c r="R68" s="122"/>
      <c r="S68" s="122"/>
      <c r="T68" s="122"/>
      <c r="U68" s="122"/>
      <c r="V68" s="124"/>
      <c r="W68" s="122"/>
      <c r="X68" s="122"/>
      <c r="Y68" s="122"/>
      <c r="Z68" s="124"/>
      <c r="AA68" s="120">
        <f t="shared" si="1"/>
        <v>0</v>
      </c>
      <c r="AB68" s="122"/>
      <c r="AC68" s="122"/>
      <c r="AD68" s="122"/>
    </row>
    <row r="69">
      <c r="A69" s="153"/>
      <c r="B69" s="125"/>
      <c r="C69" s="143"/>
      <c r="D69" s="143"/>
      <c r="E69" s="122"/>
      <c r="F69" s="122"/>
      <c r="G69" s="122"/>
      <c r="H69" s="122"/>
      <c r="I69" s="122"/>
      <c r="J69" s="122"/>
      <c r="K69" s="122"/>
      <c r="L69" s="122"/>
      <c r="M69" s="124"/>
      <c r="N69" s="122"/>
      <c r="O69" s="122"/>
      <c r="P69" s="122"/>
      <c r="Q69" s="122"/>
      <c r="R69" s="122"/>
      <c r="S69" s="122"/>
      <c r="T69" s="122"/>
      <c r="U69" s="122"/>
      <c r="V69" s="124"/>
      <c r="W69" s="122"/>
      <c r="X69" s="122"/>
      <c r="Y69" s="122"/>
      <c r="Z69" s="124"/>
      <c r="AA69" s="120">
        <f t="shared" si="1"/>
        <v>0</v>
      </c>
      <c r="AB69" s="122"/>
      <c r="AC69" s="122"/>
      <c r="AD69" s="122"/>
    </row>
    <row r="70">
      <c r="A70" s="153"/>
      <c r="B70" s="125"/>
      <c r="C70" s="143"/>
      <c r="D70" s="143"/>
      <c r="E70" s="122"/>
      <c r="F70" s="122"/>
      <c r="G70" s="122"/>
      <c r="H70" s="122"/>
      <c r="I70" s="122"/>
      <c r="J70" s="122"/>
      <c r="K70" s="122"/>
      <c r="L70" s="122"/>
      <c r="M70" s="124"/>
      <c r="N70" s="122"/>
      <c r="O70" s="122"/>
      <c r="P70" s="122"/>
      <c r="Q70" s="122"/>
      <c r="R70" s="122"/>
      <c r="S70" s="122"/>
      <c r="T70" s="122"/>
      <c r="U70" s="122"/>
      <c r="V70" s="124"/>
      <c r="W70" s="122"/>
      <c r="X70" s="122"/>
      <c r="Y70" s="122"/>
      <c r="Z70" s="124"/>
      <c r="AA70" s="120">
        <f t="shared" si="1"/>
        <v>0</v>
      </c>
      <c r="AB70" s="122"/>
      <c r="AC70" s="122"/>
      <c r="AD70" s="122"/>
    </row>
    <row r="71">
      <c r="A71" s="153"/>
      <c r="B71" s="125"/>
      <c r="C71" s="143"/>
      <c r="D71" s="143"/>
      <c r="E71" s="122"/>
      <c r="F71" s="122"/>
      <c r="G71" s="122"/>
      <c r="H71" s="122"/>
      <c r="I71" s="122"/>
      <c r="J71" s="122"/>
      <c r="K71" s="122"/>
      <c r="L71" s="122"/>
      <c r="M71" s="124"/>
      <c r="N71" s="122"/>
      <c r="O71" s="122"/>
      <c r="P71" s="122"/>
      <c r="Q71" s="122"/>
      <c r="R71" s="122"/>
      <c r="S71" s="122"/>
      <c r="T71" s="122"/>
      <c r="U71" s="122"/>
      <c r="V71" s="124"/>
      <c r="W71" s="122"/>
      <c r="X71" s="122"/>
      <c r="Y71" s="122"/>
      <c r="Z71" s="124"/>
      <c r="AA71" s="120">
        <f t="shared" si="1"/>
        <v>0</v>
      </c>
      <c r="AB71" s="122"/>
      <c r="AC71" s="122"/>
      <c r="AD71" s="122"/>
    </row>
    <row r="72">
      <c r="A72" s="153"/>
      <c r="B72" s="125"/>
      <c r="C72" s="143"/>
      <c r="D72" s="143"/>
      <c r="E72" s="122"/>
      <c r="F72" s="122"/>
      <c r="G72" s="122"/>
      <c r="H72" s="122"/>
      <c r="I72" s="122"/>
      <c r="J72" s="122"/>
      <c r="K72" s="122"/>
      <c r="L72" s="122"/>
      <c r="M72" s="124"/>
      <c r="N72" s="122"/>
      <c r="O72" s="122"/>
      <c r="P72" s="122"/>
      <c r="Q72" s="122"/>
      <c r="R72" s="122"/>
      <c r="S72" s="122"/>
      <c r="T72" s="122"/>
      <c r="U72" s="122"/>
      <c r="V72" s="124"/>
      <c r="W72" s="122"/>
      <c r="X72" s="122"/>
      <c r="Y72" s="122"/>
      <c r="Z72" s="124"/>
      <c r="AA72" s="120">
        <f t="shared" si="1"/>
        <v>0</v>
      </c>
      <c r="AB72" s="122"/>
      <c r="AC72" s="122"/>
      <c r="AD72" s="122"/>
    </row>
    <row r="73">
      <c r="A73" s="153"/>
      <c r="B73" s="125"/>
      <c r="C73" s="143"/>
      <c r="D73" s="143"/>
      <c r="E73" s="122"/>
      <c r="F73" s="122"/>
      <c r="G73" s="122"/>
      <c r="H73" s="122"/>
      <c r="I73" s="122"/>
      <c r="J73" s="122"/>
      <c r="K73" s="122"/>
      <c r="L73" s="122"/>
      <c r="M73" s="124"/>
      <c r="N73" s="122"/>
      <c r="O73" s="122"/>
      <c r="P73" s="122"/>
      <c r="Q73" s="122"/>
      <c r="R73" s="122"/>
      <c r="S73" s="122"/>
      <c r="T73" s="122"/>
      <c r="U73" s="122"/>
      <c r="V73" s="124"/>
      <c r="W73" s="122"/>
      <c r="X73" s="122"/>
      <c r="Y73" s="122"/>
      <c r="Z73" s="124"/>
      <c r="AA73" s="120">
        <f t="shared" si="1"/>
        <v>0</v>
      </c>
      <c r="AB73" s="122"/>
      <c r="AC73" s="122"/>
      <c r="AD73" s="122"/>
    </row>
    <row r="74">
      <c r="A74" s="153"/>
      <c r="B74" s="125"/>
      <c r="C74" s="143"/>
      <c r="D74" s="143"/>
      <c r="E74" s="122"/>
      <c r="F74" s="122"/>
      <c r="G74" s="122"/>
      <c r="H74" s="122"/>
      <c r="I74" s="122"/>
      <c r="J74" s="122"/>
      <c r="K74" s="122"/>
      <c r="L74" s="122"/>
      <c r="M74" s="124"/>
      <c r="N74" s="122"/>
      <c r="O74" s="122"/>
      <c r="P74" s="122"/>
      <c r="Q74" s="122"/>
      <c r="R74" s="122"/>
      <c r="S74" s="122"/>
      <c r="T74" s="122"/>
      <c r="U74" s="122"/>
      <c r="V74" s="124"/>
      <c r="W74" s="122"/>
      <c r="X74" s="122"/>
      <c r="Y74" s="122"/>
      <c r="Z74" s="124"/>
      <c r="AA74" s="120">
        <f t="shared" si="1"/>
        <v>0</v>
      </c>
      <c r="AB74" s="122"/>
      <c r="AC74" s="122"/>
      <c r="AD74" s="122"/>
    </row>
    <row r="75">
      <c r="A75" s="153"/>
      <c r="B75" s="125"/>
      <c r="C75" s="143"/>
      <c r="D75" s="143"/>
      <c r="E75" s="122"/>
      <c r="F75" s="122"/>
      <c r="G75" s="122"/>
      <c r="H75" s="122"/>
      <c r="I75" s="122"/>
      <c r="J75" s="122"/>
      <c r="K75" s="122"/>
      <c r="L75" s="122"/>
      <c r="M75" s="124"/>
      <c r="N75" s="122"/>
      <c r="O75" s="122"/>
      <c r="P75" s="122"/>
      <c r="Q75" s="122"/>
      <c r="R75" s="122"/>
      <c r="S75" s="122"/>
      <c r="T75" s="122"/>
      <c r="U75" s="122"/>
      <c r="V75" s="124"/>
      <c r="W75" s="122"/>
      <c r="X75" s="122"/>
      <c r="Y75" s="122"/>
      <c r="Z75" s="124"/>
      <c r="AA75" s="120">
        <f t="shared" si="1"/>
        <v>0</v>
      </c>
      <c r="AB75" s="122"/>
      <c r="AC75" s="122"/>
      <c r="AD75" s="122"/>
    </row>
    <row r="76">
      <c r="A76" s="153"/>
      <c r="B76" s="125"/>
      <c r="C76" s="143"/>
      <c r="D76" s="143"/>
      <c r="E76" s="122"/>
      <c r="F76" s="122"/>
      <c r="G76" s="122"/>
      <c r="H76" s="122"/>
      <c r="I76" s="122"/>
      <c r="J76" s="122"/>
      <c r="K76" s="122"/>
      <c r="L76" s="122"/>
      <c r="M76" s="124"/>
      <c r="N76" s="122"/>
      <c r="O76" s="122"/>
      <c r="P76" s="122"/>
      <c r="Q76" s="122"/>
      <c r="R76" s="122"/>
      <c r="S76" s="122"/>
      <c r="T76" s="122"/>
      <c r="U76" s="122"/>
      <c r="V76" s="124"/>
      <c r="W76" s="122"/>
      <c r="X76" s="122"/>
      <c r="Y76" s="122"/>
      <c r="Z76" s="124"/>
      <c r="AA76" s="120">
        <f t="shared" si="1"/>
        <v>0</v>
      </c>
      <c r="AB76" s="122"/>
      <c r="AC76" s="122"/>
      <c r="AD76" s="122"/>
    </row>
    <row r="77">
      <c r="A77" s="153"/>
      <c r="B77" s="125"/>
      <c r="C77" s="143"/>
      <c r="D77" s="143"/>
      <c r="E77" s="122"/>
      <c r="F77" s="122"/>
      <c r="G77" s="122"/>
      <c r="H77" s="122"/>
      <c r="I77" s="122"/>
      <c r="J77" s="122"/>
      <c r="K77" s="122"/>
      <c r="L77" s="122"/>
      <c r="M77" s="124"/>
      <c r="N77" s="122"/>
      <c r="O77" s="122"/>
      <c r="P77" s="122"/>
      <c r="Q77" s="122"/>
      <c r="R77" s="122"/>
      <c r="S77" s="122"/>
      <c r="T77" s="122"/>
      <c r="U77" s="122"/>
      <c r="V77" s="124"/>
      <c r="W77" s="122"/>
      <c r="X77" s="122"/>
      <c r="Y77" s="122"/>
      <c r="Z77" s="124"/>
      <c r="AA77" s="124"/>
      <c r="AB77" s="122"/>
      <c r="AC77" s="122"/>
      <c r="AD77" s="122"/>
    </row>
    <row r="78">
      <c r="A78" s="154"/>
      <c r="B78" s="126"/>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c r="AC78" s="122"/>
      <c r="AD78" s="122"/>
    </row>
    <row r="79">
      <c r="A79" s="154"/>
      <c r="B79" s="126"/>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row>
    <row r="80">
      <c r="A80" s="154"/>
      <c r="B80" s="126"/>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c r="AD80" s="122"/>
    </row>
    <row r="81">
      <c r="A81" s="154"/>
      <c r="B81" s="126"/>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2"/>
      <c r="AC81" s="122"/>
      <c r="AD81" s="122"/>
    </row>
    <row r="82">
      <c r="A82" s="154"/>
      <c r="B82" s="126"/>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c r="AC82" s="122"/>
      <c r="AD82" s="122"/>
    </row>
    <row r="83">
      <c r="A83" s="154"/>
      <c r="B83" s="126"/>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row>
    <row r="84">
      <c r="A84" s="154"/>
      <c r="B84" s="126"/>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row>
    <row r="85">
      <c r="A85" s="154"/>
      <c r="B85" s="126"/>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row>
    <row r="86">
      <c r="A86" s="154"/>
      <c r="B86" s="126"/>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row>
    <row r="87">
      <c r="A87" s="154"/>
      <c r="B87" s="126"/>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row>
    <row r="88">
      <c r="A88" s="154"/>
      <c r="B88" s="126"/>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row>
    <row r="89">
      <c r="A89" s="154"/>
      <c r="B89" s="126"/>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row>
    <row r="90">
      <c r="A90" s="154"/>
      <c r="B90" s="126"/>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row>
    <row r="91">
      <c r="A91" s="154"/>
      <c r="B91" s="126"/>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row>
    <row r="92">
      <c r="A92" s="154"/>
      <c r="B92" s="126"/>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row>
    <row r="93">
      <c r="A93" s="154"/>
      <c r="B93" s="126"/>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row>
    <row r="94">
      <c r="A94" s="154"/>
      <c r="B94" s="126"/>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row>
    <row r="95">
      <c r="A95" s="154"/>
      <c r="B95" s="126"/>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row>
    <row r="96">
      <c r="A96" s="154"/>
      <c r="B96" s="126"/>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row>
    <row r="97">
      <c r="A97" s="154"/>
      <c r="B97" s="126"/>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c r="AD97" s="122"/>
    </row>
    <row r="98">
      <c r="A98" s="154"/>
      <c r="B98" s="126"/>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row>
    <row r="99">
      <c r="A99" s="154"/>
      <c r="B99" s="126"/>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row>
    <row r="100">
      <c r="A100" s="154"/>
      <c r="B100" s="126"/>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row>
    <row r="101">
      <c r="A101" s="154"/>
      <c r="B101" s="126"/>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2"/>
    </row>
    <row r="102">
      <c r="A102" s="154"/>
      <c r="B102" s="126"/>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c r="AD102" s="122"/>
    </row>
    <row r="103">
      <c r="A103" s="154"/>
      <c r="B103" s="126"/>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row>
    <row r="104">
      <c r="A104" s="154"/>
      <c r="B104" s="126"/>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row>
    <row r="105">
      <c r="A105" s="154"/>
      <c r="B105" s="126"/>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row>
    <row r="106">
      <c r="A106" s="154"/>
      <c r="B106" s="126"/>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c r="AD106" s="122"/>
    </row>
    <row r="107">
      <c r="A107" s="154"/>
      <c r="B107" s="126"/>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2"/>
    </row>
    <row r="108">
      <c r="A108" s="154"/>
      <c r="B108" s="126"/>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row>
    <row r="109">
      <c r="A109" s="154"/>
      <c r="B109" s="126"/>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c r="AD109" s="122"/>
    </row>
    <row r="110">
      <c r="A110" s="154"/>
      <c r="B110" s="126"/>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row>
    <row r="111">
      <c r="A111" s="154"/>
      <c r="B111" s="126"/>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c r="AD111" s="122"/>
    </row>
    <row r="112">
      <c r="A112" s="154"/>
      <c r="B112" s="126"/>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c r="AD112" s="122"/>
    </row>
    <row r="113">
      <c r="A113" s="154"/>
      <c r="B113" s="126"/>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row>
    <row r="114">
      <c r="A114" s="154"/>
      <c r="B114" s="126"/>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row>
    <row r="115">
      <c r="A115" s="154"/>
      <c r="B115" s="126"/>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row>
    <row r="116">
      <c r="A116" s="154"/>
      <c r="B116" s="126"/>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c r="AD116" s="122"/>
    </row>
    <row r="117">
      <c r="A117" s="154"/>
      <c r="B117" s="126"/>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2"/>
    </row>
    <row r="118">
      <c r="A118" s="154"/>
      <c r="B118" s="126"/>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c r="AD118" s="122"/>
    </row>
    <row r="119">
      <c r="A119" s="154"/>
      <c r="B119" s="126"/>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c r="AD119" s="122"/>
    </row>
    <row r="120">
      <c r="A120" s="154"/>
      <c r="B120" s="126"/>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row>
    <row r="121">
      <c r="A121" s="154"/>
      <c r="B121" s="126"/>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c r="AD121" s="122"/>
    </row>
    <row r="122">
      <c r="A122" s="154"/>
      <c r="B122" s="126"/>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c r="AD122" s="122"/>
    </row>
    <row r="123">
      <c r="A123" s="154"/>
      <c r="B123" s="126"/>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c r="AD123" s="122"/>
    </row>
    <row r="124">
      <c r="A124" s="154"/>
      <c r="B124" s="126"/>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row>
    <row r="125">
      <c r="A125" s="154"/>
      <c r="B125" s="126"/>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row>
    <row r="126">
      <c r="A126" s="154"/>
      <c r="B126" s="126"/>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c r="AD126" s="122"/>
    </row>
    <row r="127">
      <c r="A127" s="154"/>
      <c r="B127" s="126"/>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c r="AD127" s="122"/>
    </row>
    <row r="128">
      <c r="A128" s="154"/>
      <c r="B128" s="126"/>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c r="AD128" s="122"/>
    </row>
    <row r="129">
      <c r="A129" s="154"/>
      <c r="B129" s="126"/>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row>
    <row r="130">
      <c r="A130" s="154"/>
      <c r="B130" s="126"/>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row>
    <row r="131">
      <c r="A131" s="154"/>
      <c r="B131" s="126"/>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row>
    <row r="132">
      <c r="A132" s="154"/>
      <c r="B132" s="126"/>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c r="AD132" s="122"/>
    </row>
    <row r="133">
      <c r="A133" s="154"/>
      <c r="B133" s="126"/>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c r="AD133" s="122"/>
    </row>
    <row r="134">
      <c r="A134" s="154"/>
      <c r="B134" s="126"/>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c r="AD134" s="122"/>
    </row>
    <row r="135">
      <c r="A135" s="154"/>
      <c r="B135" s="126"/>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c r="AD135" s="122"/>
    </row>
    <row r="136">
      <c r="A136" s="154"/>
      <c r="B136" s="126"/>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2"/>
    </row>
    <row r="137">
      <c r="A137" s="154"/>
      <c r="B137" s="126"/>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c r="AD137" s="122"/>
    </row>
    <row r="138">
      <c r="A138" s="154"/>
      <c r="B138" s="126"/>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2"/>
    </row>
    <row r="139">
      <c r="A139" s="154"/>
      <c r="B139" s="126"/>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row>
    <row r="140">
      <c r="A140" s="154"/>
      <c r="B140" s="126"/>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2"/>
    </row>
    <row r="141">
      <c r="A141" s="154"/>
      <c r="B141" s="126"/>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row>
    <row r="142">
      <c r="A142" s="154"/>
      <c r="B142" s="126"/>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2"/>
    </row>
    <row r="143">
      <c r="A143" s="154"/>
      <c r="B143" s="126"/>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2"/>
    </row>
    <row r="144">
      <c r="A144" s="154"/>
      <c r="B144" s="126"/>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2"/>
    </row>
    <row r="145">
      <c r="A145" s="154"/>
      <c r="B145" s="126"/>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2"/>
    </row>
    <row r="146">
      <c r="A146" s="154"/>
      <c r="B146" s="126"/>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row>
    <row r="147">
      <c r="A147" s="154"/>
      <c r="B147" s="126"/>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row>
    <row r="148">
      <c r="A148" s="154"/>
      <c r="B148" s="126"/>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2"/>
    </row>
    <row r="149">
      <c r="A149" s="154"/>
      <c r="B149" s="126"/>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2"/>
    </row>
    <row r="150">
      <c r="A150" s="154"/>
      <c r="B150" s="126"/>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row>
    <row r="151">
      <c r="A151" s="154"/>
      <c r="B151" s="126"/>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row>
    <row r="152">
      <c r="A152" s="154"/>
      <c r="B152" s="126"/>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row>
    <row r="153">
      <c r="A153" s="154"/>
      <c r="B153" s="126"/>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c r="AD153" s="122"/>
    </row>
    <row r="154">
      <c r="A154" s="154"/>
      <c r="B154" s="126"/>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2"/>
    </row>
    <row r="155">
      <c r="A155" s="154"/>
      <c r="B155" s="126"/>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c r="AD155" s="122"/>
    </row>
    <row r="156">
      <c r="A156" s="154"/>
      <c r="B156" s="126"/>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c r="AD156" s="122"/>
    </row>
    <row r="157">
      <c r="A157" s="154"/>
      <c r="B157" s="126"/>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c r="AD157" s="122"/>
    </row>
    <row r="158">
      <c r="A158" s="154"/>
      <c r="B158" s="126"/>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c r="AD158" s="122"/>
    </row>
    <row r="159">
      <c r="A159" s="154"/>
      <c r="B159" s="126"/>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c r="AD159" s="122"/>
    </row>
    <row r="160">
      <c r="A160" s="154"/>
      <c r="B160" s="126"/>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row>
    <row r="161">
      <c r="A161" s="154"/>
      <c r="B161" s="126"/>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row>
    <row r="162">
      <c r="A162" s="154"/>
      <c r="B162" s="126"/>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c r="AD162" s="122"/>
    </row>
    <row r="163">
      <c r="A163" s="154"/>
      <c r="B163" s="126"/>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c r="AD163" s="122"/>
    </row>
    <row r="164">
      <c r="A164" s="154"/>
      <c r="B164" s="126"/>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c r="AD164" s="122"/>
    </row>
    <row r="165">
      <c r="A165" s="154"/>
      <c r="B165" s="126"/>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c r="AD165" s="122"/>
    </row>
    <row r="166">
      <c r="A166" s="154"/>
      <c r="B166" s="126"/>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2"/>
    </row>
    <row r="167">
      <c r="A167" s="154"/>
      <c r="B167" s="126"/>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c r="AD167" s="122"/>
    </row>
    <row r="168">
      <c r="A168" s="154"/>
      <c r="B168" s="126"/>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c r="AD168" s="122"/>
    </row>
    <row r="169">
      <c r="A169" s="154"/>
      <c r="B169" s="126"/>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c r="AD169" s="122"/>
    </row>
    <row r="170">
      <c r="A170" s="154"/>
      <c r="B170" s="126"/>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c r="AD170" s="122"/>
    </row>
    <row r="171">
      <c r="A171" s="154"/>
      <c r="B171" s="126"/>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c r="AD171" s="122"/>
    </row>
    <row r="172">
      <c r="A172" s="154"/>
      <c r="B172" s="126"/>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c r="AD172" s="122"/>
    </row>
    <row r="173">
      <c r="A173" s="154"/>
      <c r="B173" s="126"/>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c r="AD173" s="122"/>
    </row>
    <row r="174">
      <c r="A174" s="154"/>
      <c r="B174" s="126"/>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c r="AD174" s="122"/>
    </row>
    <row r="175">
      <c r="A175" s="154"/>
      <c r="B175" s="126"/>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c r="AD175" s="122"/>
    </row>
    <row r="176">
      <c r="A176" s="154"/>
      <c r="B176" s="126"/>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c r="AD176" s="122"/>
    </row>
    <row r="177">
      <c r="A177" s="154"/>
      <c r="B177" s="126"/>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row>
    <row r="178">
      <c r="A178" s="154"/>
      <c r="B178" s="126"/>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c r="AD178" s="122"/>
    </row>
    <row r="179">
      <c r="A179" s="154"/>
      <c r="B179" s="126"/>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row>
    <row r="180">
      <c r="A180" s="154"/>
      <c r="B180" s="126"/>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row>
    <row r="181">
      <c r="A181" s="154"/>
      <c r="B181" s="126"/>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row>
    <row r="182">
      <c r="A182" s="154"/>
      <c r="B182" s="126"/>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row>
    <row r="183">
      <c r="A183" s="154"/>
      <c r="B183" s="126"/>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row>
    <row r="184">
      <c r="A184" s="154"/>
      <c r="B184" s="126"/>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row>
    <row r="185">
      <c r="A185" s="154"/>
      <c r="B185" s="126"/>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row>
    <row r="186">
      <c r="A186" s="154"/>
      <c r="B186" s="126"/>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row>
    <row r="187">
      <c r="A187" s="154"/>
      <c r="B187" s="126"/>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c r="AD187" s="122"/>
    </row>
    <row r="188">
      <c r="A188" s="154"/>
      <c r="B188" s="126"/>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c r="AD188" s="122"/>
    </row>
    <row r="189">
      <c r="A189" s="154"/>
      <c r="B189" s="126"/>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c r="AD189" s="122"/>
    </row>
    <row r="190">
      <c r="A190" s="154"/>
      <c r="B190" s="126"/>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c r="AD190" s="122"/>
    </row>
    <row r="191">
      <c r="A191" s="154"/>
      <c r="B191" s="126"/>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row>
    <row r="192">
      <c r="A192" s="154"/>
      <c r="B192" s="126"/>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c r="AD192" s="122"/>
    </row>
    <row r="193">
      <c r="A193" s="154"/>
      <c r="B193" s="126"/>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c r="AD193" s="122"/>
    </row>
    <row r="194">
      <c r="A194" s="154"/>
      <c r="B194" s="126"/>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c r="AD194" s="122"/>
    </row>
    <row r="195">
      <c r="A195" s="154"/>
      <c r="B195" s="126"/>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row>
    <row r="196">
      <c r="A196" s="154"/>
      <c r="B196" s="126"/>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row>
    <row r="197">
      <c r="A197" s="154"/>
      <c r="B197" s="126"/>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row>
    <row r="198">
      <c r="A198" s="154"/>
      <c r="B198" s="126"/>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c r="AD198" s="122"/>
    </row>
    <row r="199">
      <c r="A199" s="154"/>
      <c r="B199" s="126"/>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c r="AD199" s="122"/>
    </row>
    <row r="200">
      <c r="A200" s="154"/>
      <c r="B200" s="126"/>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c r="AD200" s="122"/>
    </row>
    <row r="201">
      <c r="A201" s="154"/>
      <c r="B201" s="126"/>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c r="AD201" s="122"/>
    </row>
    <row r="202">
      <c r="A202" s="154"/>
      <c r="B202" s="126"/>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c r="AD202" s="122"/>
    </row>
    <row r="203">
      <c r="A203" s="154"/>
      <c r="B203" s="126"/>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c r="AD203" s="122"/>
    </row>
    <row r="204">
      <c r="A204" s="154"/>
      <c r="B204" s="126"/>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row>
    <row r="205">
      <c r="A205" s="154"/>
      <c r="B205" s="126"/>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c r="AD205" s="122"/>
    </row>
    <row r="206">
      <c r="A206" s="154"/>
      <c r="B206" s="126"/>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c r="AD206" s="122"/>
    </row>
    <row r="207">
      <c r="A207" s="154"/>
      <c r="B207" s="126"/>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c r="AD207" s="122"/>
    </row>
    <row r="208">
      <c r="A208" s="154"/>
      <c r="B208" s="126"/>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c r="AD208" s="122"/>
    </row>
    <row r="209">
      <c r="A209" s="154"/>
      <c r="B209" s="126"/>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row>
    <row r="210">
      <c r="A210" s="154"/>
      <c r="B210" s="126"/>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row>
    <row r="211">
      <c r="A211" s="154"/>
      <c r="B211" s="126"/>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c r="AD211" s="122"/>
    </row>
    <row r="212">
      <c r="A212" s="154"/>
      <c r="B212" s="126"/>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row>
    <row r="213">
      <c r="A213" s="154"/>
      <c r="B213" s="126"/>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c r="AD213" s="122"/>
    </row>
    <row r="214">
      <c r="A214" s="154"/>
      <c r="B214" s="126"/>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row>
    <row r="215">
      <c r="A215" s="154"/>
      <c r="B215" s="126"/>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row>
    <row r="216">
      <c r="A216" s="154"/>
      <c r="B216" s="126"/>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row>
    <row r="217">
      <c r="A217" s="154"/>
      <c r="B217" s="126"/>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2"/>
    </row>
    <row r="218">
      <c r="A218" s="154"/>
      <c r="B218" s="126"/>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c r="AD218" s="122"/>
    </row>
    <row r="219">
      <c r="A219" s="154"/>
      <c r="B219" s="126"/>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c r="AD219" s="122"/>
    </row>
    <row r="220">
      <c r="A220" s="154"/>
      <c r="B220" s="126"/>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c r="AD220" s="122"/>
    </row>
    <row r="221">
      <c r="A221" s="154"/>
      <c r="B221" s="126"/>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c r="AD221" s="122"/>
    </row>
    <row r="222">
      <c r="A222" s="154"/>
      <c r="B222" s="126"/>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row>
    <row r="223">
      <c r="A223" s="154"/>
      <c r="B223" s="126"/>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c r="AD223" s="122"/>
    </row>
    <row r="224">
      <c r="A224" s="154"/>
      <c r="B224" s="126"/>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c r="AD224" s="122"/>
    </row>
    <row r="225">
      <c r="A225" s="154"/>
      <c r="B225" s="126"/>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c r="AD225" s="122"/>
    </row>
    <row r="226">
      <c r="A226" s="154"/>
      <c r="B226" s="126"/>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c r="AD226" s="122"/>
    </row>
    <row r="227">
      <c r="A227" s="154"/>
      <c r="B227" s="126"/>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2"/>
    </row>
    <row r="228">
      <c r="A228" s="154"/>
      <c r="B228" s="126"/>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row>
    <row r="229">
      <c r="A229" s="154"/>
      <c r="B229" s="126"/>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c r="AD229" s="122"/>
    </row>
    <row r="230">
      <c r="A230" s="154"/>
      <c r="B230" s="126"/>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c r="AD230" s="122"/>
    </row>
    <row r="231">
      <c r="A231" s="154"/>
      <c r="B231" s="126"/>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c r="AD231" s="122"/>
    </row>
    <row r="232">
      <c r="A232" s="154"/>
      <c r="B232" s="126"/>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c r="AD232" s="122"/>
    </row>
    <row r="233">
      <c r="A233" s="154"/>
      <c r="B233" s="126"/>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c r="AD233" s="122"/>
    </row>
    <row r="234">
      <c r="A234" s="154"/>
      <c r="B234" s="126"/>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c r="AD234" s="122"/>
    </row>
    <row r="235">
      <c r="A235" s="154"/>
      <c r="B235" s="126"/>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c r="AD235" s="122"/>
    </row>
    <row r="236">
      <c r="A236" s="154"/>
      <c r="B236" s="126"/>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c r="AD236" s="122"/>
    </row>
    <row r="237">
      <c r="A237" s="154"/>
      <c r="B237" s="126"/>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c r="AD237" s="122"/>
    </row>
    <row r="238">
      <c r="A238" s="154"/>
      <c r="B238" s="126"/>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c r="AD238" s="122"/>
    </row>
    <row r="239">
      <c r="A239" s="154"/>
      <c r="B239" s="126"/>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c r="AD239" s="122"/>
    </row>
    <row r="240">
      <c r="A240" s="154"/>
      <c r="B240" s="126"/>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c r="AD240" s="122"/>
    </row>
    <row r="241">
      <c r="A241" s="154"/>
      <c r="B241" s="126"/>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c r="AD241" s="122"/>
    </row>
    <row r="242">
      <c r="A242" s="154"/>
      <c r="B242" s="126"/>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c r="AD242" s="122"/>
    </row>
    <row r="243">
      <c r="A243" s="154"/>
      <c r="B243" s="126"/>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c r="AD243" s="122"/>
    </row>
    <row r="244">
      <c r="A244" s="154"/>
      <c r="B244" s="126"/>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c r="AD244" s="122"/>
    </row>
    <row r="245">
      <c r="A245" s="154"/>
      <c r="B245" s="126"/>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c r="AD245" s="122"/>
    </row>
    <row r="246">
      <c r="A246" s="154"/>
      <c r="B246" s="126"/>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c r="AD246" s="122"/>
    </row>
    <row r="247">
      <c r="A247" s="154"/>
      <c r="B247" s="126"/>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c r="AD247" s="122"/>
    </row>
    <row r="248">
      <c r="A248" s="154"/>
      <c r="B248" s="126"/>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c r="AD248" s="122"/>
    </row>
    <row r="249">
      <c r="A249" s="154"/>
      <c r="B249" s="126"/>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c r="AD249" s="122"/>
    </row>
    <row r="250">
      <c r="A250" s="154"/>
      <c r="B250" s="126"/>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c r="AD250" s="122"/>
    </row>
    <row r="251">
      <c r="A251" s="154"/>
      <c r="B251" s="126"/>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c r="AD251" s="122"/>
    </row>
    <row r="252">
      <c r="A252" s="154"/>
      <c r="B252" s="126"/>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c r="AD252" s="122"/>
    </row>
    <row r="253">
      <c r="A253" s="154"/>
      <c r="B253" s="126"/>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c r="AD253" s="122"/>
    </row>
    <row r="254">
      <c r="A254" s="154"/>
      <c r="B254" s="126"/>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c r="AD254" s="122"/>
    </row>
    <row r="255">
      <c r="A255" s="154"/>
      <c r="B255" s="126"/>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c r="AD255" s="122"/>
    </row>
    <row r="256">
      <c r="A256" s="154"/>
      <c r="B256" s="126"/>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c r="AD256" s="122"/>
    </row>
    <row r="257">
      <c r="A257" s="154"/>
      <c r="B257" s="126"/>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c r="AD257" s="122"/>
    </row>
    <row r="258">
      <c r="A258" s="154"/>
      <c r="B258" s="126"/>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c r="AD258" s="122"/>
    </row>
    <row r="259">
      <c r="A259" s="154"/>
      <c r="B259" s="126"/>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c r="AD259" s="122"/>
    </row>
    <row r="260">
      <c r="A260" s="154"/>
      <c r="B260" s="126"/>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c r="AD260" s="122"/>
    </row>
    <row r="261">
      <c r="A261" s="154"/>
      <c r="B261" s="126"/>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c r="AD261" s="122"/>
    </row>
    <row r="262">
      <c r="A262" s="154"/>
      <c r="B262" s="126"/>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c r="AD262" s="122"/>
    </row>
    <row r="263">
      <c r="A263" s="154"/>
      <c r="B263" s="126"/>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c r="AD263" s="122"/>
    </row>
    <row r="264">
      <c r="A264" s="154"/>
      <c r="B264" s="126"/>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c r="AD264" s="122"/>
    </row>
    <row r="265">
      <c r="A265" s="154"/>
      <c r="B265" s="126"/>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c r="AD265" s="122"/>
    </row>
    <row r="266">
      <c r="A266" s="154"/>
      <c r="B266" s="126"/>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c r="AD266" s="122"/>
    </row>
    <row r="267">
      <c r="A267" s="154"/>
      <c r="B267" s="126"/>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2"/>
    </row>
    <row r="268">
      <c r="A268" s="154"/>
      <c r="B268" s="126"/>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c r="AD268" s="122"/>
    </row>
    <row r="269">
      <c r="A269" s="154"/>
      <c r="B269" s="126"/>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c r="AD269" s="122"/>
    </row>
    <row r="270">
      <c r="A270" s="154"/>
      <c r="B270" s="126"/>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c r="AD270" s="122"/>
    </row>
    <row r="271">
      <c r="A271" s="154"/>
      <c r="B271" s="126"/>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c r="AD271" s="122"/>
    </row>
    <row r="272">
      <c r="A272" s="154"/>
      <c r="B272" s="126"/>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c r="AD272" s="122"/>
    </row>
    <row r="273">
      <c r="A273" s="154"/>
      <c r="B273" s="126"/>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c r="AD273" s="122"/>
    </row>
    <row r="274">
      <c r="A274" s="154"/>
      <c r="B274" s="126"/>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2"/>
    </row>
    <row r="275">
      <c r="A275" s="154"/>
      <c r="B275" s="126"/>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c r="AD275" s="122"/>
    </row>
    <row r="276">
      <c r="A276" s="154"/>
      <c r="B276" s="126"/>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c r="AD276" s="122"/>
    </row>
    <row r="277">
      <c r="A277" s="154"/>
      <c r="B277" s="126"/>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c r="AD277" s="122"/>
    </row>
    <row r="278">
      <c r="A278" s="154"/>
      <c r="B278" s="126"/>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c r="AD278" s="122"/>
    </row>
    <row r="279">
      <c r="A279" s="154"/>
      <c r="B279" s="126"/>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c r="AD279" s="122"/>
    </row>
    <row r="280">
      <c r="A280" s="154"/>
      <c r="B280" s="126"/>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c r="AD280" s="122"/>
    </row>
    <row r="281">
      <c r="A281" s="154"/>
      <c r="B281" s="126"/>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c r="AD281" s="122"/>
    </row>
    <row r="282">
      <c r="A282" s="154"/>
      <c r="B282" s="126"/>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c r="AD282" s="122"/>
    </row>
    <row r="283">
      <c r="A283" s="154"/>
      <c r="B283" s="126"/>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c r="AD283" s="122"/>
    </row>
    <row r="284">
      <c r="A284" s="154"/>
      <c r="B284" s="126"/>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c r="AD284" s="122"/>
    </row>
    <row r="285">
      <c r="A285" s="154"/>
      <c r="B285" s="126"/>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c r="AD285" s="122"/>
    </row>
    <row r="286">
      <c r="A286" s="154"/>
      <c r="B286" s="126"/>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c r="AD286" s="122"/>
    </row>
    <row r="287">
      <c r="A287" s="154"/>
      <c r="B287" s="126"/>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c r="AD287" s="122"/>
    </row>
    <row r="288">
      <c r="A288" s="154"/>
      <c r="B288" s="126"/>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2"/>
    </row>
    <row r="289">
      <c r="A289" s="154"/>
      <c r="B289" s="126"/>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c r="AD289" s="122"/>
    </row>
    <row r="290">
      <c r="A290" s="154"/>
      <c r="B290" s="126"/>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c r="AD290" s="122"/>
    </row>
    <row r="291">
      <c r="A291" s="154"/>
      <c r="B291" s="126"/>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c r="AD291" s="122"/>
    </row>
    <row r="292">
      <c r="A292" s="154"/>
      <c r="B292" s="126"/>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2"/>
    </row>
    <row r="293">
      <c r="A293" s="154"/>
      <c r="B293" s="126"/>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row>
    <row r="294">
      <c r="A294" s="154"/>
      <c r="B294" s="126"/>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2"/>
    </row>
    <row r="295">
      <c r="A295" s="154"/>
      <c r="B295" s="126"/>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c r="AD295" s="122"/>
    </row>
    <row r="296">
      <c r="A296" s="154"/>
      <c r="B296" s="126"/>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c r="AD296" s="122"/>
    </row>
    <row r="297">
      <c r="A297" s="154"/>
      <c r="B297" s="126"/>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c r="AD297" s="122"/>
    </row>
    <row r="298">
      <c r="A298" s="154"/>
      <c r="B298" s="126"/>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c r="AD298" s="122"/>
    </row>
    <row r="299">
      <c r="A299" s="154"/>
      <c r="B299" s="126"/>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c r="AD299" s="122"/>
    </row>
    <row r="300">
      <c r="A300" s="154"/>
      <c r="B300" s="126"/>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c r="AD300" s="122"/>
    </row>
    <row r="301">
      <c r="A301" s="154"/>
      <c r="B301" s="126"/>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c r="AD301" s="122"/>
    </row>
    <row r="302">
      <c r="A302" s="154"/>
      <c r="B302" s="126"/>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c r="AD302" s="122"/>
    </row>
    <row r="303">
      <c r="A303" s="154"/>
      <c r="B303" s="126"/>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c r="AD303" s="122"/>
    </row>
    <row r="304">
      <c r="A304" s="154"/>
      <c r="B304" s="126"/>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c r="AD304" s="122"/>
    </row>
    <row r="305">
      <c r="A305" s="154"/>
      <c r="B305" s="126"/>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c r="AD305" s="122"/>
    </row>
    <row r="306">
      <c r="A306" s="154"/>
      <c r="B306" s="126"/>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c r="AD306" s="122"/>
    </row>
    <row r="307">
      <c r="A307" s="154"/>
      <c r="B307" s="126"/>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c r="AD307" s="122"/>
    </row>
    <row r="308">
      <c r="A308" s="154"/>
      <c r="B308" s="126"/>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c r="AD308" s="122"/>
    </row>
    <row r="309">
      <c r="A309" s="154"/>
      <c r="B309" s="126"/>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c r="AD309" s="122"/>
    </row>
    <row r="310">
      <c r="A310" s="154"/>
      <c r="B310" s="126"/>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c r="AD310" s="122"/>
    </row>
    <row r="311">
      <c r="A311" s="154"/>
      <c r="B311" s="126"/>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c r="AD311" s="122"/>
    </row>
    <row r="312">
      <c r="A312" s="154"/>
      <c r="B312" s="126"/>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c r="AD312" s="122"/>
    </row>
    <row r="313">
      <c r="A313" s="154"/>
      <c r="B313" s="126"/>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c r="AD313" s="122"/>
    </row>
    <row r="314">
      <c r="A314" s="154"/>
      <c r="B314" s="126"/>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c r="AD314" s="122"/>
    </row>
    <row r="315">
      <c r="A315" s="154"/>
      <c r="B315" s="126"/>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c r="AD315" s="122"/>
    </row>
    <row r="316">
      <c r="A316" s="154"/>
      <c r="B316" s="126"/>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c r="AD316" s="122"/>
    </row>
    <row r="317">
      <c r="A317" s="154"/>
      <c r="B317" s="126"/>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c r="AD317" s="122"/>
    </row>
    <row r="318">
      <c r="A318" s="154"/>
      <c r="B318" s="126"/>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c r="AD318" s="122"/>
    </row>
    <row r="319">
      <c r="A319" s="154"/>
      <c r="B319" s="126"/>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c r="AD319" s="122"/>
    </row>
    <row r="320">
      <c r="A320" s="154"/>
      <c r="B320" s="126"/>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c r="AD320" s="122"/>
    </row>
    <row r="321">
      <c r="A321" s="154"/>
      <c r="B321" s="126"/>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c r="AD321" s="122"/>
    </row>
    <row r="322">
      <c r="A322" s="154"/>
      <c r="B322" s="126"/>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c r="AD322" s="122"/>
    </row>
    <row r="323">
      <c r="A323" s="154"/>
      <c r="B323" s="126"/>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c r="AD323" s="122"/>
    </row>
    <row r="324">
      <c r="A324" s="154"/>
      <c r="B324" s="126"/>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c r="AD324" s="122"/>
    </row>
    <row r="325">
      <c r="A325" s="154"/>
      <c r="B325" s="126"/>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c r="AD325" s="122"/>
    </row>
    <row r="326">
      <c r="A326" s="154"/>
      <c r="B326" s="126"/>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c r="AD326" s="122"/>
    </row>
    <row r="327">
      <c r="A327" s="154"/>
      <c r="B327" s="126"/>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c r="AD327" s="122"/>
    </row>
    <row r="328">
      <c r="A328" s="154"/>
      <c r="B328" s="126"/>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c r="AD328" s="122"/>
    </row>
    <row r="329">
      <c r="A329" s="154"/>
      <c r="B329" s="126"/>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c r="AD329" s="122"/>
    </row>
    <row r="330">
      <c r="A330" s="154"/>
      <c r="B330" s="126"/>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c r="AD330" s="122"/>
    </row>
    <row r="331">
      <c r="A331" s="154"/>
      <c r="B331" s="126"/>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c r="AD331" s="122"/>
    </row>
    <row r="332">
      <c r="A332" s="154"/>
      <c r="B332" s="126"/>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c r="AD332" s="122"/>
    </row>
    <row r="333">
      <c r="A333" s="154"/>
      <c r="B333" s="126"/>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c r="AD333" s="122"/>
    </row>
    <row r="334">
      <c r="A334" s="154"/>
      <c r="B334" s="126"/>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c r="AD334" s="122"/>
    </row>
    <row r="335">
      <c r="A335" s="154"/>
      <c r="B335" s="126"/>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c r="AD335" s="122"/>
    </row>
    <row r="336">
      <c r="A336" s="154"/>
      <c r="B336" s="126"/>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c r="AD336" s="122"/>
    </row>
    <row r="337">
      <c r="A337" s="154"/>
      <c r="B337" s="126"/>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c r="AD337" s="122"/>
    </row>
    <row r="338">
      <c r="A338" s="154"/>
      <c r="B338" s="126"/>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c r="AD338" s="122"/>
    </row>
    <row r="339">
      <c r="A339" s="154"/>
      <c r="B339" s="126"/>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c r="AD339" s="122"/>
    </row>
    <row r="340">
      <c r="A340" s="154"/>
      <c r="B340" s="126"/>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c r="AD340" s="122"/>
    </row>
    <row r="341">
      <c r="A341" s="154"/>
      <c r="B341" s="126"/>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c r="AD341" s="122"/>
    </row>
    <row r="342">
      <c r="A342" s="154"/>
      <c r="B342" s="126"/>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c r="AD342" s="122"/>
    </row>
    <row r="343">
      <c r="A343" s="154"/>
      <c r="B343" s="126"/>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c r="AD343" s="122"/>
    </row>
    <row r="344">
      <c r="A344" s="154"/>
      <c r="B344" s="126"/>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c r="AD344" s="122"/>
    </row>
    <row r="345">
      <c r="A345" s="154"/>
      <c r="B345" s="126"/>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c r="AD345" s="122"/>
    </row>
    <row r="346">
      <c r="A346" s="154"/>
      <c r="B346" s="126"/>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c r="AD346" s="122"/>
    </row>
    <row r="347">
      <c r="A347" s="154"/>
      <c r="B347" s="126"/>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c r="AD347" s="122"/>
    </row>
    <row r="348">
      <c r="A348" s="154"/>
      <c r="B348" s="126"/>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c r="AD348" s="122"/>
    </row>
    <row r="349">
      <c r="A349" s="154"/>
      <c r="B349" s="126"/>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c r="AD349" s="122"/>
    </row>
    <row r="350">
      <c r="A350" s="154"/>
      <c r="B350" s="126"/>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c r="AD350" s="122"/>
    </row>
    <row r="351">
      <c r="A351" s="154"/>
      <c r="B351" s="126"/>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c r="AD351" s="122"/>
    </row>
    <row r="352">
      <c r="A352" s="154"/>
      <c r="B352" s="126"/>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c r="AD352" s="122"/>
    </row>
    <row r="353">
      <c r="A353" s="154"/>
      <c r="B353" s="126"/>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c r="AD353" s="122"/>
    </row>
    <row r="354">
      <c r="A354" s="154"/>
      <c r="B354" s="126"/>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c r="AD354" s="122"/>
    </row>
    <row r="355">
      <c r="A355" s="154"/>
      <c r="B355" s="126"/>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c r="AD355" s="122"/>
    </row>
    <row r="356">
      <c r="A356" s="154"/>
      <c r="B356" s="126"/>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c r="AD356" s="122"/>
    </row>
    <row r="357">
      <c r="A357" s="154"/>
      <c r="B357" s="126"/>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c r="AD357" s="122"/>
    </row>
    <row r="358">
      <c r="A358" s="154"/>
      <c r="B358" s="126"/>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c r="AD358" s="122"/>
    </row>
    <row r="359">
      <c r="A359" s="154"/>
      <c r="B359" s="126"/>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c r="AD359" s="122"/>
    </row>
    <row r="360">
      <c r="A360" s="154"/>
      <c r="B360" s="126"/>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c r="AD360" s="122"/>
    </row>
    <row r="361">
      <c r="A361" s="154"/>
      <c r="B361" s="126"/>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c r="AD361" s="122"/>
    </row>
    <row r="362">
      <c r="A362" s="154"/>
      <c r="B362" s="126"/>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c r="AD362" s="122"/>
    </row>
    <row r="363">
      <c r="A363" s="154"/>
      <c r="B363" s="126"/>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c r="AD363" s="122"/>
    </row>
    <row r="364">
      <c r="A364" s="154"/>
      <c r="B364" s="126"/>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2"/>
    </row>
    <row r="365">
      <c r="A365" s="154"/>
      <c r="B365" s="126"/>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c r="AD365" s="122"/>
    </row>
    <row r="366">
      <c r="A366" s="154"/>
      <c r="B366" s="126"/>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c r="AD366" s="122"/>
    </row>
    <row r="367">
      <c r="A367" s="154"/>
      <c r="B367" s="126"/>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c r="AD367" s="122"/>
    </row>
    <row r="368">
      <c r="A368" s="154"/>
      <c r="B368" s="126"/>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c r="AD368" s="122"/>
    </row>
    <row r="369">
      <c r="A369" s="154"/>
      <c r="B369" s="126"/>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2"/>
    </row>
    <row r="370">
      <c r="A370" s="154"/>
      <c r="B370" s="126"/>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c r="AD370" s="122"/>
    </row>
    <row r="371">
      <c r="A371" s="154"/>
      <c r="B371" s="126"/>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c r="AD371" s="122"/>
    </row>
    <row r="372">
      <c r="A372" s="154"/>
      <c r="B372" s="126"/>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c r="AD372" s="122"/>
    </row>
    <row r="373">
      <c r="A373" s="154"/>
      <c r="B373" s="126"/>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c r="AD373" s="122"/>
    </row>
    <row r="374">
      <c r="A374" s="154"/>
      <c r="B374" s="126"/>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c r="AD374" s="122"/>
    </row>
    <row r="375">
      <c r="A375" s="154"/>
      <c r="B375" s="126"/>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c r="AD375" s="122"/>
    </row>
    <row r="376">
      <c r="A376" s="154"/>
      <c r="B376" s="126"/>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c r="AD376" s="122"/>
    </row>
    <row r="377">
      <c r="A377" s="154"/>
      <c r="B377" s="126"/>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c r="AD377" s="122"/>
    </row>
    <row r="378">
      <c r="A378" s="154"/>
      <c r="B378" s="126"/>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c r="AD378" s="122"/>
    </row>
    <row r="379">
      <c r="A379" s="154"/>
      <c r="B379" s="126"/>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c r="AD379" s="122"/>
    </row>
    <row r="380">
      <c r="A380" s="154"/>
      <c r="B380" s="126"/>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c r="AD380" s="122"/>
    </row>
    <row r="381">
      <c r="A381" s="154"/>
      <c r="B381" s="126"/>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c r="AD381" s="122"/>
    </row>
    <row r="382">
      <c r="A382" s="154"/>
      <c r="B382" s="126"/>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c r="AD382" s="122"/>
    </row>
    <row r="383">
      <c r="A383" s="154"/>
      <c r="B383" s="126"/>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c r="AD383" s="122"/>
    </row>
    <row r="384">
      <c r="A384" s="154"/>
      <c r="B384" s="126"/>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c r="AD384" s="122"/>
    </row>
    <row r="385">
      <c r="A385" s="154"/>
      <c r="B385" s="126"/>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c r="AD385" s="122"/>
    </row>
    <row r="386">
      <c r="A386" s="154"/>
      <c r="B386" s="126"/>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c r="AD386" s="122"/>
    </row>
    <row r="387">
      <c r="A387" s="154"/>
      <c r="B387" s="126"/>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c r="AD387" s="122"/>
    </row>
    <row r="388">
      <c r="A388" s="154"/>
      <c r="B388" s="126"/>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c r="AD388" s="122"/>
    </row>
    <row r="389">
      <c r="A389" s="154"/>
      <c r="B389" s="126"/>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c r="AD389" s="122"/>
    </row>
    <row r="390">
      <c r="A390" s="154"/>
      <c r="B390" s="126"/>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2"/>
    </row>
    <row r="391">
      <c r="A391" s="154"/>
      <c r="B391" s="126"/>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c r="AD391" s="122"/>
    </row>
    <row r="392">
      <c r="A392" s="154"/>
      <c r="B392" s="126"/>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c r="AD392" s="122"/>
    </row>
    <row r="393">
      <c r="A393" s="154"/>
      <c r="B393" s="126"/>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c r="AD393" s="122"/>
    </row>
    <row r="394">
      <c r="A394" s="154"/>
      <c r="B394" s="126"/>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c r="AD394" s="122"/>
    </row>
    <row r="395">
      <c r="A395" s="154"/>
      <c r="B395" s="126"/>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c r="AD395" s="122"/>
    </row>
    <row r="396">
      <c r="A396" s="154"/>
      <c r="B396" s="126"/>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c r="AD396" s="122"/>
    </row>
    <row r="397">
      <c r="A397" s="154"/>
      <c r="B397" s="126"/>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c r="AD397" s="122"/>
    </row>
    <row r="398">
      <c r="A398" s="154"/>
      <c r="B398" s="126"/>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c r="AD398" s="122"/>
    </row>
    <row r="399">
      <c r="A399" s="154"/>
      <c r="B399" s="126"/>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c r="AD399" s="122"/>
    </row>
    <row r="400">
      <c r="A400" s="154"/>
      <c r="B400" s="126"/>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c r="AD400" s="122"/>
    </row>
    <row r="401">
      <c r="A401" s="154"/>
      <c r="B401" s="126"/>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c r="AD401" s="122"/>
    </row>
    <row r="402">
      <c r="A402" s="154"/>
      <c r="B402" s="126"/>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c r="AD402" s="122"/>
    </row>
    <row r="403">
      <c r="A403" s="154"/>
      <c r="B403" s="126"/>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c r="AD403" s="122"/>
    </row>
    <row r="404">
      <c r="A404" s="154"/>
      <c r="B404" s="126"/>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c r="AD404" s="122"/>
    </row>
    <row r="405">
      <c r="A405" s="154"/>
      <c r="B405" s="126"/>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c r="AD405" s="122"/>
    </row>
    <row r="406">
      <c r="A406" s="154"/>
      <c r="B406" s="126"/>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c r="AD406" s="122"/>
    </row>
    <row r="407">
      <c r="A407" s="154"/>
      <c r="B407" s="126"/>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c r="AD407" s="122"/>
    </row>
    <row r="408">
      <c r="A408" s="154"/>
      <c r="B408" s="126"/>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c r="AD408" s="122"/>
    </row>
    <row r="409">
      <c r="A409" s="154"/>
      <c r="B409" s="126"/>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2"/>
    </row>
    <row r="410">
      <c r="A410" s="154"/>
      <c r="B410" s="126"/>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c r="AD410" s="122"/>
    </row>
    <row r="411">
      <c r="A411" s="154"/>
      <c r="B411" s="126"/>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c r="AD411" s="122"/>
    </row>
    <row r="412">
      <c r="A412" s="154"/>
      <c r="B412" s="126"/>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c r="AD412" s="122"/>
    </row>
    <row r="413">
      <c r="A413" s="154"/>
      <c r="B413" s="126"/>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c r="AD413" s="122"/>
    </row>
    <row r="414">
      <c r="A414" s="154"/>
      <c r="B414" s="126"/>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2"/>
    </row>
    <row r="415">
      <c r="A415" s="154"/>
      <c r="B415" s="126"/>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c r="AD415" s="122"/>
    </row>
    <row r="416">
      <c r="A416" s="154"/>
      <c r="B416" s="126"/>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c r="AD416" s="122"/>
    </row>
    <row r="417">
      <c r="A417" s="154"/>
      <c r="B417" s="126"/>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c r="AD417" s="122"/>
    </row>
    <row r="418">
      <c r="A418" s="154"/>
      <c r="B418" s="126"/>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c r="AD418" s="122"/>
    </row>
    <row r="419">
      <c r="A419" s="154"/>
      <c r="B419" s="126"/>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c r="AD419" s="122"/>
    </row>
    <row r="420">
      <c r="A420" s="154"/>
      <c r="B420" s="126"/>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c r="AD420" s="122"/>
    </row>
    <row r="421">
      <c r="A421" s="154"/>
      <c r="B421" s="126"/>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c r="AD421" s="122"/>
    </row>
    <row r="422">
      <c r="A422" s="154"/>
      <c r="B422" s="126"/>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c r="AD422" s="122"/>
    </row>
    <row r="423">
      <c r="A423" s="154"/>
      <c r="B423" s="126"/>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c r="AD423" s="122"/>
    </row>
    <row r="424">
      <c r="A424" s="154"/>
      <c r="B424" s="126"/>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c r="AD424" s="122"/>
    </row>
    <row r="425">
      <c r="A425" s="154"/>
      <c r="B425" s="126"/>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c r="AD425" s="122"/>
    </row>
    <row r="426">
      <c r="A426" s="154"/>
      <c r="B426" s="126"/>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c r="AD426" s="122"/>
    </row>
    <row r="427">
      <c r="A427" s="154"/>
      <c r="B427" s="126"/>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c r="AD427" s="122"/>
    </row>
    <row r="428">
      <c r="A428" s="154"/>
      <c r="B428" s="126"/>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c r="AD428" s="122"/>
    </row>
    <row r="429">
      <c r="A429" s="154"/>
      <c r="B429" s="126"/>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c r="AD429" s="122"/>
    </row>
    <row r="430">
      <c r="A430" s="154"/>
      <c r="B430" s="126"/>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c r="AD430" s="122"/>
    </row>
    <row r="431">
      <c r="A431" s="154"/>
      <c r="B431" s="126"/>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c r="AD431" s="122"/>
    </row>
    <row r="432">
      <c r="A432" s="154"/>
      <c r="B432" s="126"/>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c r="AD432" s="122"/>
    </row>
    <row r="433">
      <c r="A433" s="154"/>
      <c r="B433" s="126"/>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c r="AD433" s="122"/>
    </row>
    <row r="434">
      <c r="A434" s="154"/>
      <c r="B434" s="126"/>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2"/>
    </row>
    <row r="435">
      <c r="A435" s="154"/>
      <c r="B435" s="126"/>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c r="AD435" s="122"/>
    </row>
    <row r="436">
      <c r="A436" s="154"/>
      <c r="B436" s="126"/>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c r="AD436" s="122"/>
    </row>
    <row r="437">
      <c r="A437" s="154"/>
      <c r="B437" s="126"/>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c r="AD437" s="122"/>
    </row>
    <row r="438">
      <c r="A438" s="154"/>
      <c r="B438" s="126"/>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c r="AD438" s="122"/>
    </row>
    <row r="439">
      <c r="A439" s="154"/>
      <c r="B439" s="126"/>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c r="AD439" s="122"/>
    </row>
    <row r="440">
      <c r="A440" s="154"/>
      <c r="B440" s="126"/>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c r="AD440" s="122"/>
    </row>
    <row r="441">
      <c r="A441" s="154"/>
      <c r="B441" s="126"/>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c r="AD441" s="122"/>
    </row>
    <row r="442">
      <c r="A442" s="154"/>
      <c r="B442" s="126"/>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c r="AD442" s="122"/>
    </row>
    <row r="443">
      <c r="A443" s="154"/>
      <c r="B443" s="126"/>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c r="AD443" s="122"/>
    </row>
    <row r="444">
      <c r="A444" s="154"/>
      <c r="B444" s="126"/>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c r="AD444" s="122"/>
    </row>
    <row r="445">
      <c r="A445" s="154"/>
      <c r="B445" s="126"/>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c r="AD445" s="122"/>
    </row>
    <row r="446">
      <c r="A446" s="154"/>
      <c r="B446" s="126"/>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c r="AD446" s="122"/>
    </row>
    <row r="447">
      <c r="A447" s="154"/>
      <c r="B447" s="126"/>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c r="AD447" s="122"/>
    </row>
    <row r="448">
      <c r="A448" s="154"/>
      <c r="B448" s="126"/>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c r="AD448" s="122"/>
    </row>
    <row r="449">
      <c r="A449" s="154"/>
      <c r="B449" s="126"/>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c r="AD449" s="122"/>
    </row>
    <row r="450">
      <c r="A450" s="154"/>
      <c r="B450" s="126"/>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c r="AD450" s="122"/>
    </row>
    <row r="451">
      <c r="A451" s="154"/>
      <c r="B451" s="126"/>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c r="AD451" s="122"/>
    </row>
    <row r="452">
      <c r="A452" s="154"/>
      <c r="B452" s="126"/>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c r="AD452" s="122"/>
    </row>
    <row r="453">
      <c r="A453" s="154"/>
      <c r="B453" s="126"/>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c r="AD453" s="122"/>
    </row>
    <row r="454">
      <c r="A454" s="154"/>
      <c r="B454" s="126"/>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c r="AD454" s="122"/>
    </row>
    <row r="455">
      <c r="A455" s="154"/>
      <c r="B455" s="126"/>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c r="AD455" s="122"/>
    </row>
    <row r="456">
      <c r="A456" s="154"/>
      <c r="B456" s="126"/>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c r="AD456" s="122"/>
    </row>
    <row r="457">
      <c r="A457" s="154"/>
      <c r="B457" s="126"/>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c r="AD457" s="122"/>
    </row>
    <row r="458">
      <c r="A458" s="154"/>
      <c r="B458" s="126"/>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c r="AD458" s="122"/>
    </row>
    <row r="459">
      <c r="A459" s="154"/>
      <c r="B459" s="126"/>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c r="AD459" s="122"/>
    </row>
    <row r="460">
      <c r="A460" s="154"/>
      <c r="B460" s="126"/>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c r="AD460" s="122"/>
    </row>
    <row r="461">
      <c r="A461" s="154"/>
      <c r="B461" s="126"/>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c r="AD461" s="122"/>
    </row>
    <row r="462">
      <c r="A462" s="154"/>
      <c r="B462" s="126"/>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c r="AD462" s="122"/>
    </row>
    <row r="463">
      <c r="A463" s="154"/>
      <c r="B463" s="126"/>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c r="AD463" s="122"/>
    </row>
    <row r="464">
      <c r="A464" s="154"/>
      <c r="B464" s="126"/>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c r="AD464" s="122"/>
    </row>
    <row r="465">
      <c r="A465" s="154"/>
      <c r="B465" s="126"/>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c r="AD465" s="122"/>
    </row>
    <row r="466">
      <c r="A466" s="154"/>
      <c r="B466" s="126"/>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c r="AD466" s="122"/>
    </row>
    <row r="467">
      <c r="A467" s="154"/>
      <c r="B467" s="126"/>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2"/>
    </row>
    <row r="468">
      <c r="A468" s="154"/>
      <c r="B468" s="126"/>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c r="AD468" s="122"/>
    </row>
    <row r="469">
      <c r="A469" s="154"/>
      <c r="B469" s="126"/>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2"/>
    </row>
    <row r="470">
      <c r="A470" s="154"/>
      <c r="B470" s="126"/>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c r="AD470" s="122"/>
    </row>
    <row r="471">
      <c r="A471" s="154"/>
      <c r="B471" s="126"/>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c r="AD471" s="122"/>
    </row>
    <row r="472">
      <c r="A472" s="154"/>
      <c r="B472" s="126"/>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2"/>
    </row>
    <row r="473">
      <c r="A473" s="154"/>
      <c r="B473" s="126"/>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c r="AD473" s="122"/>
    </row>
    <row r="474">
      <c r="A474" s="154"/>
      <c r="B474" s="126"/>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2"/>
    </row>
    <row r="475">
      <c r="A475" s="154"/>
      <c r="B475" s="126"/>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c r="AD475" s="122"/>
    </row>
    <row r="476">
      <c r="A476" s="154"/>
      <c r="B476" s="126"/>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c r="AD476" s="122"/>
    </row>
    <row r="477">
      <c r="A477" s="154"/>
      <c r="B477" s="126"/>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2"/>
    </row>
    <row r="478">
      <c r="A478" s="154"/>
      <c r="B478" s="126"/>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c r="AD478" s="122"/>
    </row>
    <row r="479">
      <c r="A479" s="154"/>
      <c r="B479" s="126"/>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2"/>
    </row>
    <row r="480">
      <c r="A480" s="154"/>
      <c r="B480" s="126"/>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c r="AD480" s="122"/>
    </row>
    <row r="481">
      <c r="A481" s="154"/>
      <c r="B481" s="126"/>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c r="AD481" s="122"/>
    </row>
    <row r="482">
      <c r="A482" s="154"/>
      <c r="B482" s="126"/>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2"/>
    </row>
    <row r="483">
      <c r="A483" s="154"/>
      <c r="B483" s="126"/>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c r="AD483" s="122"/>
    </row>
    <row r="484">
      <c r="A484" s="154"/>
      <c r="B484" s="126"/>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c r="AD484" s="122"/>
    </row>
    <row r="485">
      <c r="A485" s="154"/>
      <c r="B485" s="126"/>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c r="AD485" s="122"/>
    </row>
    <row r="486">
      <c r="A486" s="154"/>
      <c r="B486" s="126"/>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row>
    <row r="487">
      <c r="A487" s="154"/>
      <c r="B487" s="126"/>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2"/>
    </row>
    <row r="488">
      <c r="A488" s="154"/>
      <c r="B488" s="126"/>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c r="AD488" s="122"/>
    </row>
    <row r="489">
      <c r="A489" s="154"/>
      <c r="B489" s="126"/>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c r="AD489" s="122"/>
    </row>
    <row r="490">
      <c r="A490" s="154"/>
      <c r="B490" s="126"/>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c r="AD490" s="122"/>
    </row>
    <row r="491">
      <c r="A491" s="154"/>
      <c r="B491" s="126"/>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c r="AD491" s="122"/>
    </row>
    <row r="492">
      <c r="A492" s="154"/>
      <c r="B492" s="126"/>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2"/>
    </row>
    <row r="493">
      <c r="A493" s="154"/>
      <c r="B493" s="126"/>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c r="AD493" s="122"/>
    </row>
    <row r="494">
      <c r="A494" s="154"/>
      <c r="B494" s="126"/>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c r="AD494" s="122"/>
    </row>
    <row r="495">
      <c r="A495" s="154"/>
      <c r="B495" s="126"/>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c r="AD495" s="122"/>
    </row>
    <row r="496">
      <c r="A496" s="154"/>
      <c r="B496" s="126"/>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2"/>
    </row>
    <row r="497">
      <c r="A497" s="154"/>
      <c r="B497" s="126"/>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2"/>
    </row>
    <row r="498">
      <c r="A498" s="154"/>
      <c r="B498" s="126"/>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c r="AD498" s="122"/>
    </row>
    <row r="499">
      <c r="A499" s="154"/>
      <c r="B499" s="126"/>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c r="AD499" s="122"/>
    </row>
    <row r="500">
      <c r="A500" s="154"/>
      <c r="B500" s="126"/>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2"/>
    </row>
    <row r="501">
      <c r="A501" s="154"/>
      <c r="B501" s="126"/>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c r="AD501" s="122"/>
    </row>
    <row r="502">
      <c r="A502" s="154"/>
      <c r="B502" s="126"/>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2"/>
    </row>
    <row r="503">
      <c r="A503" s="154"/>
      <c r="B503" s="126"/>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c r="AD503" s="122"/>
    </row>
    <row r="504">
      <c r="A504" s="154"/>
      <c r="B504" s="126"/>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c r="AD504" s="122"/>
    </row>
    <row r="505">
      <c r="A505" s="154"/>
      <c r="B505" s="126"/>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c r="AD505" s="122"/>
    </row>
    <row r="506">
      <c r="A506" s="154"/>
      <c r="B506" s="126"/>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c r="AD506" s="122"/>
    </row>
    <row r="507">
      <c r="A507" s="154"/>
      <c r="B507" s="126"/>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2"/>
    </row>
    <row r="508">
      <c r="A508" s="154"/>
      <c r="B508" s="126"/>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c r="AD508" s="122"/>
    </row>
    <row r="509">
      <c r="A509" s="154"/>
      <c r="B509" s="126"/>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2"/>
    </row>
    <row r="510">
      <c r="A510" s="154"/>
      <c r="B510" s="126"/>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c r="AD510" s="122"/>
    </row>
    <row r="511">
      <c r="A511" s="154"/>
      <c r="B511" s="126"/>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c r="AD511" s="122"/>
    </row>
    <row r="512">
      <c r="A512" s="154"/>
      <c r="B512" s="126"/>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2"/>
    </row>
    <row r="513">
      <c r="A513" s="154"/>
      <c r="B513" s="126"/>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c r="AD513" s="122"/>
    </row>
    <row r="514">
      <c r="A514" s="154"/>
      <c r="B514" s="126"/>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c r="AD514" s="122"/>
    </row>
    <row r="515">
      <c r="A515" s="154"/>
      <c r="B515" s="126"/>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c r="AD515" s="122"/>
    </row>
    <row r="516">
      <c r="A516" s="154"/>
      <c r="B516" s="126"/>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c r="AD516" s="122"/>
    </row>
    <row r="517">
      <c r="A517" s="154"/>
      <c r="B517" s="126"/>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2"/>
    </row>
    <row r="518">
      <c r="A518" s="154"/>
      <c r="B518" s="126"/>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c r="AD518" s="122"/>
    </row>
    <row r="519">
      <c r="A519" s="154"/>
      <c r="B519" s="126"/>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c r="AD519" s="122"/>
    </row>
    <row r="520">
      <c r="A520" s="154"/>
      <c r="B520" s="126"/>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c r="AD520" s="122"/>
    </row>
    <row r="521">
      <c r="A521" s="154"/>
      <c r="B521" s="126"/>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c r="AD521" s="122"/>
    </row>
    <row r="522">
      <c r="A522" s="154"/>
      <c r="B522" s="126"/>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2"/>
    </row>
    <row r="523">
      <c r="A523" s="154"/>
      <c r="B523" s="126"/>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c r="AD523" s="122"/>
    </row>
    <row r="524">
      <c r="A524" s="154"/>
      <c r="B524" s="126"/>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c r="AD524" s="122"/>
    </row>
    <row r="525">
      <c r="A525" s="154"/>
      <c r="B525" s="126"/>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c r="AD525" s="122"/>
    </row>
    <row r="526">
      <c r="A526" s="154"/>
      <c r="B526" s="126"/>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c r="AD526" s="122"/>
    </row>
    <row r="527">
      <c r="A527" s="154"/>
      <c r="B527" s="126"/>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c r="AD527" s="122"/>
    </row>
    <row r="528">
      <c r="A528" s="154"/>
      <c r="B528" s="126"/>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c r="AD528" s="122"/>
    </row>
    <row r="529">
      <c r="A529" s="154"/>
      <c r="B529" s="126"/>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c r="AD529" s="122"/>
    </row>
    <row r="530">
      <c r="A530" s="154"/>
      <c r="B530" s="126"/>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c r="AD530" s="122"/>
    </row>
    <row r="531">
      <c r="A531" s="154"/>
      <c r="B531" s="126"/>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c r="AD531" s="122"/>
    </row>
    <row r="532">
      <c r="A532" s="154"/>
      <c r="B532" s="126"/>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c r="AD532" s="122"/>
    </row>
    <row r="533">
      <c r="A533" s="154"/>
      <c r="B533" s="126"/>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c r="AD533" s="122"/>
    </row>
    <row r="534">
      <c r="A534" s="154"/>
      <c r="B534" s="126"/>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c r="AD534" s="122"/>
    </row>
    <row r="535">
      <c r="A535" s="154"/>
      <c r="B535" s="126"/>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c r="AD535" s="122"/>
    </row>
    <row r="536">
      <c r="A536" s="154"/>
      <c r="B536" s="126"/>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c r="AD536" s="122"/>
    </row>
    <row r="537">
      <c r="A537" s="154"/>
      <c r="B537" s="126"/>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c r="AD537" s="122"/>
    </row>
    <row r="538">
      <c r="A538" s="154"/>
      <c r="B538" s="126"/>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c r="AD538" s="122"/>
    </row>
    <row r="539">
      <c r="A539" s="154"/>
      <c r="B539" s="126"/>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2"/>
    </row>
    <row r="540">
      <c r="A540" s="154"/>
      <c r="B540" s="126"/>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c r="AD540" s="122"/>
    </row>
    <row r="541">
      <c r="A541" s="154"/>
      <c r="B541" s="126"/>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2"/>
    </row>
    <row r="542">
      <c r="A542" s="154"/>
      <c r="B542" s="126"/>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c r="AD542" s="122"/>
    </row>
    <row r="543">
      <c r="A543" s="154"/>
      <c r="B543" s="126"/>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2"/>
    </row>
    <row r="544">
      <c r="A544" s="154"/>
      <c r="B544" s="126"/>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c r="AD544" s="122"/>
    </row>
    <row r="545">
      <c r="A545" s="154"/>
      <c r="B545" s="126"/>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c r="AD545" s="122"/>
    </row>
    <row r="546">
      <c r="A546" s="154"/>
      <c r="B546" s="126"/>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c r="AD546" s="122"/>
    </row>
    <row r="547">
      <c r="A547" s="154"/>
      <c r="B547" s="126"/>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c r="AD547" s="122"/>
    </row>
    <row r="548">
      <c r="A548" s="154"/>
      <c r="B548" s="126"/>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c r="AD548" s="122"/>
    </row>
    <row r="549">
      <c r="A549" s="154"/>
      <c r="B549" s="126"/>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c r="AD549" s="122"/>
    </row>
    <row r="550">
      <c r="A550" s="154"/>
      <c r="B550" s="126"/>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c r="AD550" s="122"/>
    </row>
    <row r="551">
      <c r="A551" s="154"/>
      <c r="B551" s="126"/>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c r="AD551" s="122"/>
    </row>
    <row r="552">
      <c r="A552" s="154"/>
      <c r="B552" s="126"/>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c r="AD552" s="122"/>
    </row>
    <row r="553">
      <c r="A553" s="154"/>
      <c r="B553" s="126"/>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c r="AD553" s="122"/>
    </row>
    <row r="554">
      <c r="A554" s="154"/>
      <c r="B554" s="126"/>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c r="AD554" s="122"/>
    </row>
    <row r="555">
      <c r="A555" s="154"/>
      <c r="B555" s="126"/>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c r="AD555" s="122"/>
    </row>
    <row r="556">
      <c r="A556" s="154"/>
      <c r="B556" s="126"/>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c r="AD556" s="122"/>
    </row>
    <row r="557">
      <c r="A557" s="154"/>
      <c r="B557" s="126"/>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c r="AD557" s="122"/>
    </row>
    <row r="558">
      <c r="A558" s="154"/>
      <c r="B558" s="126"/>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c r="AD558" s="122"/>
    </row>
    <row r="559">
      <c r="A559" s="154"/>
      <c r="B559" s="126"/>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c r="AD559" s="122"/>
    </row>
    <row r="560">
      <c r="A560" s="154"/>
      <c r="B560" s="126"/>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c r="AD560" s="122"/>
    </row>
    <row r="561">
      <c r="A561" s="154"/>
      <c r="B561" s="126"/>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c r="AD561" s="122"/>
    </row>
    <row r="562">
      <c r="A562" s="154"/>
      <c r="B562" s="126"/>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c r="AD562" s="122"/>
    </row>
    <row r="563">
      <c r="A563" s="154"/>
      <c r="B563" s="126"/>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c r="AD563" s="122"/>
    </row>
    <row r="564">
      <c r="A564" s="154"/>
      <c r="B564" s="126"/>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c r="AD564" s="122"/>
    </row>
    <row r="565">
      <c r="A565" s="154"/>
      <c r="B565" s="126"/>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c r="AD565" s="122"/>
    </row>
    <row r="566">
      <c r="A566" s="154"/>
      <c r="B566" s="126"/>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c r="AD566" s="122"/>
    </row>
    <row r="567">
      <c r="A567" s="154"/>
      <c r="B567" s="126"/>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c r="AD567" s="122"/>
    </row>
    <row r="568">
      <c r="A568" s="154"/>
      <c r="B568" s="126"/>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c r="AD568" s="122"/>
    </row>
    <row r="569">
      <c r="A569" s="154"/>
      <c r="B569" s="126"/>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c r="AD569" s="122"/>
    </row>
    <row r="570">
      <c r="A570" s="154"/>
      <c r="B570" s="126"/>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c r="AD570" s="122"/>
    </row>
    <row r="571">
      <c r="A571" s="154"/>
      <c r="B571" s="126"/>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c r="AD571" s="122"/>
    </row>
    <row r="572">
      <c r="A572" s="154"/>
      <c r="B572" s="126"/>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c r="AD572" s="122"/>
    </row>
    <row r="573">
      <c r="A573" s="154"/>
      <c r="B573" s="126"/>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c r="AD573" s="122"/>
    </row>
    <row r="574">
      <c r="A574" s="154"/>
      <c r="B574" s="126"/>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c r="AD574" s="122"/>
    </row>
    <row r="575">
      <c r="A575" s="154"/>
      <c r="B575" s="126"/>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2"/>
    </row>
    <row r="576">
      <c r="A576" s="154"/>
      <c r="B576" s="126"/>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c r="AD576" s="122"/>
    </row>
    <row r="577">
      <c r="A577" s="154"/>
      <c r="B577" s="126"/>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c r="AD577" s="122"/>
    </row>
    <row r="578">
      <c r="A578" s="154"/>
      <c r="B578" s="126"/>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c r="AD578" s="122"/>
    </row>
    <row r="579">
      <c r="A579" s="154"/>
      <c r="B579" s="126"/>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c r="AD579" s="122"/>
    </row>
    <row r="580">
      <c r="A580" s="154"/>
      <c r="B580" s="126"/>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c r="AD580" s="122"/>
    </row>
    <row r="581">
      <c r="A581" s="154"/>
      <c r="B581" s="126"/>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c r="AD581" s="122"/>
    </row>
    <row r="582">
      <c r="A582" s="154"/>
      <c r="B582" s="126"/>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c r="AD582" s="122"/>
    </row>
    <row r="583">
      <c r="A583" s="154"/>
      <c r="B583" s="126"/>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c r="AD583" s="122"/>
    </row>
    <row r="584">
      <c r="A584" s="154"/>
      <c r="B584" s="126"/>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c r="AD584" s="122"/>
    </row>
    <row r="585">
      <c r="A585" s="154"/>
      <c r="B585" s="126"/>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c r="AD585" s="122"/>
    </row>
    <row r="586">
      <c r="A586" s="154"/>
      <c r="B586" s="126"/>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c r="AD586" s="122"/>
    </row>
    <row r="587">
      <c r="A587" s="154"/>
      <c r="B587" s="126"/>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row>
    <row r="588">
      <c r="A588" s="154"/>
      <c r="B588" s="126"/>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row>
    <row r="589">
      <c r="A589" s="154"/>
      <c r="B589" s="126"/>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c r="AD589" s="122"/>
    </row>
    <row r="590">
      <c r="A590" s="154"/>
      <c r="B590" s="126"/>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c r="AD590" s="122"/>
    </row>
    <row r="591">
      <c r="A591" s="154"/>
      <c r="B591" s="126"/>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c r="AD591" s="122"/>
    </row>
    <row r="592">
      <c r="A592" s="154"/>
      <c r="B592" s="126"/>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c r="AD592" s="122"/>
    </row>
    <row r="593">
      <c r="A593" s="154"/>
      <c r="B593" s="126"/>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c r="AD593" s="122"/>
    </row>
    <row r="594">
      <c r="A594" s="154"/>
      <c r="B594" s="126"/>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2"/>
    </row>
    <row r="595">
      <c r="A595" s="154"/>
      <c r="B595" s="126"/>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c r="AD595" s="122"/>
    </row>
    <row r="596">
      <c r="A596" s="154"/>
      <c r="B596" s="126"/>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2"/>
    </row>
    <row r="597">
      <c r="A597" s="154"/>
      <c r="B597" s="126"/>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c r="AD597" s="122"/>
    </row>
    <row r="598">
      <c r="A598" s="154"/>
      <c r="B598" s="126"/>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c r="AD598" s="122"/>
    </row>
    <row r="599">
      <c r="A599" s="154"/>
      <c r="B599" s="126"/>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c r="AD599" s="122"/>
    </row>
    <row r="600">
      <c r="A600" s="154"/>
      <c r="B600" s="126"/>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c r="AD600" s="122"/>
    </row>
    <row r="601">
      <c r="A601" s="154"/>
      <c r="B601" s="126"/>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c r="AD601" s="122"/>
    </row>
    <row r="602">
      <c r="A602" s="154"/>
      <c r="B602" s="126"/>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row>
    <row r="603">
      <c r="A603" s="154"/>
      <c r="B603" s="126"/>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row>
    <row r="604">
      <c r="A604" s="154"/>
      <c r="B604" s="126"/>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c r="AD604" s="122"/>
    </row>
    <row r="605">
      <c r="A605" s="154"/>
      <c r="B605" s="126"/>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c r="AD605" s="122"/>
    </row>
    <row r="606">
      <c r="A606" s="154"/>
      <c r="B606" s="126"/>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c r="AD606" s="122"/>
    </row>
    <row r="607">
      <c r="A607" s="154"/>
      <c r="B607" s="126"/>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c r="AD607" s="122"/>
    </row>
    <row r="608">
      <c r="A608" s="154"/>
      <c r="B608" s="126"/>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c r="AD608" s="122"/>
    </row>
    <row r="609">
      <c r="A609" s="154"/>
      <c r="B609" s="126"/>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c r="AD609" s="122"/>
    </row>
    <row r="610">
      <c r="A610" s="154"/>
      <c r="B610" s="126"/>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c r="AD610" s="122"/>
    </row>
    <row r="611">
      <c r="A611" s="154"/>
      <c r="B611" s="126"/>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c r="AD611" s="122"/>
    </row>
    <row r="612">
      <c r="A612" s="154"/>
      <c r="B612" s="126"/>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c r="AD612" s="122"/>
    </row>
    <row r="613">
      <c r="A613" s="154"/>
      <c r="B613" s="126"/>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c r="AD613" s="122"/>
    </row>
    <row r="614">
      <c r="A614" s="154"/>
      <c r="B614" s="126"/>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c r="AD614" s="122"/>
    </row>
    <row r="615">
      <c r="A615" s="154"/>
      <c r="B615" s="126"/>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c r="AD615" s="122"/>
    </row>
    <row r="616">
      <c r="A616" s="154"/>
      <c r="B616" s="126"/>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c r="AD616" s="122"/>
    </row>
    <row r="617">
      <c r="A617" s="154"/>
      <c r="B617" s="126"/>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row>
    <row r="618">
      <c r="A618" s="154"/>
      <c r="B618" s="126"/>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c r="AD618" s="122"/>
    </row>
    <row r="619">
      <c r="A619" s="154"/>
      <c r="B619" s="126"/>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c r="AD619" s="122"/>
    </row>
    <row r="620">
      <c r="A620" s="154"/>
      <c r="B620" s="126"/>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c r="AD620" s="122"/>
    </row>
    <row r="621">
      <c r="A621" s="154"/>
      <c r="B621" s="126"/>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c r="AD621" s="122"/>
    </row>
    <row r="622">
      <c r="A622" s="154"/>
      <c r="B622" s="126"/>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c r="AD622" s="122"/>
    </row>
    <row r="623">
      <c r="A623" s="154"/>
      <c r="B623" s="126"/>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c r="AD623" s="122"/>
    </row>
    <row r="624">
      <c r="A624" s="154"/>
      <c r="B624" s="126"/>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c r="AD624" s="122"/>
    </row>
    <row r="625">
      <c r="A625" s="154"/>
      <c r="B625" s="126"/>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c r="AD625" s="122"/>
    </row>
    <row r="626">
      <c r="A626" s="154"/>
      <c r="B626" s="126"/>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c r="AD626" s="122"/>
    </row>
    <row r="627">
      <c r="A627" s="154"/>
      <c r="B627" s="126"/>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c r="AD627" s="122"/>
    </row>
    <row r="628">
      <c r="A628" s="154"/>
      <c r="B628" s="126"/>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c r="AD628" s="122"/>
    </row>
    <row r="629">
      <c r="A629" s="154"/>
      <c r="B629" s="126"/>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c r="AD629" s="122"/>
    </row>
    <row r="630">
      <c r="A630" s="154"/>
      <c r="B630" s="126"/>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c r="AD630" s="122"/>
    </row>
    <row r="631">
      <c r="A631" s="154"/>
      <c r="B631" s="126"/>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c r="AD631" s="122"/>
    </row>
    <row r="632">
      <c r="A632" s="154"/>
      <c r="B632" s="126"/>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c r="AD632" s="122"/>
    </row>
    <row r="633">
      <c r="A633" s="154"/>
      <c r="B633" s="126"/>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c r="AD633" s="122"/>
    </row>
    <row r="634">
      <c r="A634" s="154"/>
      <c r="B634" s="126"/>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c r="AD634" s="122"/>
    </row>
    <row r="635">
      <c r="A635" s="154"/>
      <c r="B635" s="126"/>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c r="AD635" s="122"/>
    </row>
    <row r="636">
      <c r="A636" s="154"/>
      <c r="B636" s="126"/>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c r="AD636" s="122"/>
    </row>
    <row r="637">
      <c r="A637" s="154"/>
      <c r="B637" s="126"/>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c r="AD637" s="122"/>
    </row>
    <row r="638">
      <c r="A638" s="154"/>
      <c r="B638" s="126"/>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c r="AD638" s="122"/>
    </row>
    <row r="639">
      <c r="A639" s="154"/>
      <c r="B639" s="126"/>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c r="AD639" s="122"/>
    </row>
    <row r="640">
      <c r="A640" s="154"/>
      <c r="B640" s="126"/>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c r="AD640" s="122"/>
    </row>
    <row r="641">
      <c r="A641" s="154"/>
      <c r="B641" s="126"/>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c r="AD641" s="122"/>
    </row>
    <row r="642">
      <c r="A642" s="154"/>
      <c r="B642" s="126"/>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c r="AD642" s="122"/>
    </row>
    <row r="643">
      <c r="A643" s="154"/>
      <c r="B643" s="126"/>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c r="AD643" s="122"/>
    </row>
    <row r="644">
      <c r="A644" s="154"/>
      <c r="B644" s="126"/>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c r="AD644" s="122"/>
    </row>
    <row r="645">
      <c r="A645" s="154"/>
      <c r="B645" s="126"/>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c r="AD645" s="122"/>
    </row>
    <row r="646">
      <c r="A646" s="154"/>
      <c r="B646" s="126"/>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c r="AD646" s="122"/>
    </row>
    <row r="647">
      <c r="A647" s="154"/>
      <c r="B647" s="126"/>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c r="AD647" s="122"/>
    </row>
    <row r="648">
      <c r="A648" s="154"/>
      <c r="B648" s="126"/>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2"/>
    </row>
    <row r="649">
      <c r="A649" s="154"/>
      <c r="B649" s="126"/>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c r="AD649" s="122"/>
    </row>
    <row r="650">
      <c r="A650" s="154"/>
      <c r="B650" s="126"/>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c r="AD650" s="122"/>
    </row>
    <row r="651">
      <c r="A651" s="154"/>
      <c r="B651" s="126"/>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c r="AD651" s="122"/>
    </row>
    <row r="652">
      <c r="A652" s="154"/>
      <c r="B652" s="126"/>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c r="AD652" s="122"/>
    </row>
    <row r="653">
      <c r="A653" s="154"/>
      <c r="B653" s="126"/>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c r="AD653" s="122"/>
    </row>
    <row r="654">
      <c r="A654" s="154"/>
      <c r="B654" s="126"/>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c r="AD654" s="122"/>
    </row>
    <row r="655">
      <c r="A655" s="154"/>
      <c r="B655" s="126"/>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c r="AD655" s="122"/>
    </row>
    <row r="656">
      <c r="A656" s="154"/>
      <c r="B656" s="126"/>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c r="AD656" s="122"/>
    </row>
    <row r="657">
      <c r="A657" s="154"/>
      <c r="B657" s="126"/>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c r="AD657" s="122"/>
    </row>
    <row r="658">
      <c r="A658" s="154"/>
      <c r="B658" s="126"/>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c r="AD658" s="122"/>
    </row>
    <row r="659">
      <c r="A659" s="154"/>
      <c r="B659" s="126"/>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c r="AD659" s="122"/>
    </row>
    <row r="660">
      <c r="A660" s="154"/>
      <c r="B660" s="126"/>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c r="AD660" s="122"/>
    </row>
    <row r="661">
      <c r="A661" s="154"/>
      <c r="B661" s="126"/>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c r="AD661" s="122"/>
    </row>
    <row r="662">
      <c r="A662" s="154"/>
      <c r="B662" s="126"/>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c r="AD662" s="122"/>
    </row>
    <row r="663">
      <c r="A663" s="154"/>
      <c r="B663" s="126"/>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c r="AD663" s="122"/>
    </row>
    <row r="664">
      <c r="A664" s="154"/>
      <c r="B664" s="126"/>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c r="AD664" s="122"/>
    </row>
    <row r="665">
      <c r="A665" s="154"/>
      <c r="B665" s="126"/>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c r="AD665" s="122"/>
    </row>
    <row r="666">
      <c r="A666" s="154"/>
      <c r="B666" s="126"/>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c r="AD666" s="122"/>
    </row>
    <row r="667">
      <c r="A667" s="154"/>
      <c r="B667" s="126"/>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c r="AD667" s="122"/>
    </row>
    <row r="668">
      <c r="A668" s="154"/>
      <c r="B668" s="126"/>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row>
    <row r="669">
      <c r="A669" s="154"/>
      <c r="B669" s="126"/>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c r="AD669" s="122"/>
    </row>
    <row r="670">
      <c r="A670" s="154"/>
      <c r="B670" s="126"/>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2"/>
    </row>
    <row r="671">
      <c r="A671" s="154"/>
      <c r="B671" s="126"/>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c r="AD671" s="122"/>
    </row>
    <row r="672">
      <c r="A672" s="154"/>
      <c r="B672" s="126"/>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row>
    <row r="673">
      <c r="A673" s="154"/>
      <c r="B673" s="126"/>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row>
    <row r="674">
      <c r="A674" s="154"/>
      <c r="B674" s="126"/>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row>
    <row r="675">
      <c r="A675" s="154"/>
      <c r="B675" s="126"/>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2"/>
    </row>
    <row r="676">
      <c r="A676" s="154"/>
      <c r="B676" s="126"/>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2"/>
    </row>
    <row r="677">
      <c r="A677" s="154"/>
      <c r="B677" s="126"/>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c r="AD677" s="122"/>
    </row>
    <row r="678">
      <c r="A678" s="154"/>
      <c r="B678" s="126"/>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row>
    <row r="679">
      <c r="A679" s="154"/>
      <c r="B679" s="126"/>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c r="AD679" s="122"/>
    </row>
    <row r="680">
      <c r="A680" s="154"/>
      <c r="B680" s="126"/>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2"/>
    </row>
    <row r="681">
      <c r="A681" s="154"/>
      <c r="B681" s="126"/>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c r="AD681" s="122"/>
    </row>
    <row r="682">
      <c r="A682" s="154"/>
      <c r="B682" s="126"/>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c r="AD682" s="122"/>
    </row>
    <row r="683">
      <c r="A683" s="154"/>
      <c r="B683" s="126"/>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row>
    <row r="684">
      <c r="A684" s="154"/>
      <c r="B684" s="126"/>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c r="AD684" s="122"/>
    </row>
    <row r="685">
      <c r="A685" s="154"/>
      <c r="B685" s="126"/>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c r="AD685" s="122"/>
    </row>
    <row r="686">
      <c r="A686" s="154"/>
      <c r="B686" s="126"/>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c r="AD686" s="122"/>
    </row>
    <row r="687">
      <c r="A687" s="154"/>
      <c r="B687" s="126"/>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row>
    <row r="688">
      <c r="A688" s="154"/>
      <c r="B688" s="126"/>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row>
    <row r="689">
      <c r="A689" s="154"/>
      <c r="B689" s="126"/>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row>
    <row r="690">
      <c r="A690" s="154"/>
      <c r="B690" s="126"/>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c r="AD690" s="122"/>
    </row>
    <row r="691">
      <c r="A691" s="154"/>
      <c r="B691" s="126"/>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c r="AD691" s="122"/>
    </row>
    <row r="692">
      <c r="A692" s="154"/>
      <c r="B692" s="126"/>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c r="AD692" s="122"/>
    </row>
    <row r="693">
      <c r="A693" s="154"/>
      <c r="B693" s="126"/>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row>
    <row r="694">
      <c r="A694" s="154"/>
      <c r="B694" s="126"/>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c r="AD694" s="122"/>
    </row>
    <row r="695">
      <c r="A695" s="154"/>
      <c r="B695" s="126"/>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c r="AD695" s="122"/>
    </row>
    <row r="696">
      <c r="A696" s="154"/>
      <c r="B696" s="126"/>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c r="AD696" s="122"/>
    </row>
    <row r="697">
      <c r="A697" s="154"/>
      <c r="B697" s="126"/>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c r="AD697" s="122"/>
    </row>
    <row r="698">
      <c r="A698" s="154"/>
      <c r="B698" s="126"/>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c r="AD698" s="122"/>
    </row>
    <row r="699">
      <c r="A699" s="154"/>
      <c r="B699" s="126"/>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c r="AD699" s="122"/>
    </row>
    <row r="700">
      <c r="A700" s="154"/>
      <c r="B700" s="126"/>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c r="AD700" s="122"/>
    </row>
    <row r="701">
      <c r="A701" s="154"/>
      <c r="B701" s="126"/>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c r="AD701" s="122"/>
    </row>
    <row r="702">
      <c r="A702" s="154"/>
      <c r="B702" s="126"/>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c r="AD702" s="122"/>
    </row>
    <row r="703">
      <c r="A703" s="154"/>
      <c r="B703" s="126"/>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c r="AD703" s="122"/>
    </row>
    <row r="704">
      <c r="A704" s="154"/>
      <c r="B704" s="126"/>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c r="AD704" s="122"/>
    </row>
    <row r="705">
      <c r="A705" s="154"/>
      <c r="B705" s="126"/>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c r="AD705" s="122"/>
    </row>
    <row r="706">
      <c r="A706" s="154"/>
      <c r="B706" s="126"/>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c r="AD706" s="122"/>
    </row>
    <row r="707">
      <c r="A707" s="154"/>
      <c r="B707" s="126"/>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c r="AD707" s="122"/>
    </row>
    <row r="708">
      <c r="A708" s="154"/>
      <c r="B708" s="126"/>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c r="AD708" s="122"/>
    </row>
    <row r="709">
      <c r="A709" s="154"/>
      <c r="B709" s="126"/>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c r="AD709" s="122"/>
    </row>
    <row r="710">
      <c r="A710" s="154"/>
      <c r="B710" s="126"/>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c r="AD710" s="122"/>
    </row>
    <row r="711">
      <c r="A711" s="154"/>
      <c r="B711" s="126"/>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c r="AD711" s="122"/>
    </row>
    <row r="712">
      <c r="A712" s="154"/>
      <c r="B712" s="126"/>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c r="AD712" s="122"/>
    </row>
    <row r="713">
      <c r="A713" s="154"/>
      <c r="B713" s="126"/>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c r="AD713" s="122"/>
    </row>
    <row r="714">
      <c r="A714" s="154"/>
      <c r="B714" s="126"/>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c r="AD714" s="122"/>
    </row>
    <row r="715">
      <c r="A715" s="154"/>
      <c r="B715" s="126"/>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c r="AD715" s="122"/>
    </row>
    <row r="716">
      <c r="A716" s="154"/>
      <c r="B716" s="126"/>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c r="AD716" s="122"/>
    </row>
    <row r="717">
      <c r="A717" s="154"/>
      <c r="B717" s="126"/>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c r="AD717" s="122"/>
    </row>
    <row r="718">
      <c r="A718" s="154"/>
      <c r="B718" s="126"/>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c r="AD718" s="122"/>
    </row>
    <row r="719">
      <c r="A719" s="154"/>
      <c r="B719" s="126"/>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c r="AD719" s="122"/>
    </row>
    <row r="720">
      <c r="A720" s="154"/>
      <c r="B720" s="126"/>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c r="AD720" s="122"/>
    </row>
    <row r="721">
      <c r="A721" s="154"/>
      <c r="B721" s="126"/>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c r="AD721" s="122"/>
    </row>
    <row r="722">
      <c r="A722" s="154"/>
      <c r="B722" s="126"/>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c r="AD722" s="122"/>
    </row>
    <row r="723">
      <c r="A723" s="154"/>
      <c r="B723" s="126"/>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c r="AD723" s="122"/>
    </row>
    <row r="724">
      <c r="A724" s="154"/>
      <c r="B724" s="126"/>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c r="AD724" s="122"/>
    </row>
    <row r="725">
      <c r="A725" s="154"/>
      <c r="B725" s="126"/>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c r="AD725" s="122"/>
    </row>
    <row r="726">
      <c r="A726" s="154"/>
      <c r="B726" s="126"/>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c r="AD726" s="122"/>
    </row>
    <row r="727">
      <c r="A727" s="154"/>
      <c r="B727" s="126"/>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c r="AD727" s="122"/>
    </row>
    <row r="728">
      <c r="A728" s="154"/>
      <c r="B728" s="126"/>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c r="AD728" s="122"/>
    </row>
    <row r="729">
      <c r="A729" s="154"/>
      <c r="B729" s="126"/>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c r="AD729" s="122"/>
    </row>
    <row r="730">
      <c r="A730" s="154"/>
      <c r="B730" s="126"/>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c r="AD730" s="122"/>
    </row>
    <row r="731">
      <c r="A731" s="154"/>
      <c r="B731" s="126"/>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c r="AD731" s="122"/>
    </row>
    <row r="732">
      <c r="A732" s="154"/>
      <c r="B732" s="126"/>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c r="AD732" s="122"/>
    </row>
    <row r="733">
      <c r="A733" s="154"/>
      <c r="B733" s="126"/>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c r="AD733" s="122"/>
    </row>
    <row r="734">
      <c r="A734" s="154"/>
      <c r="B734" s="126"/>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c r="AD734" s="122"/>
    </row>
    <row r="735">
      <c r="A735" s="154"/>
      <c r="B735" s="126"/>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c r="AD735" s="122"/>
    </row>
    <row r="736">
      <c r="A736" s="154"/>
      <c r="B736" s="126"/>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c r="AD736" s="122"/>
    </row>
    <row r="737">
      <c r="A737" s="154"/>
      <c r="B737" s="126"/>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c r="AD737" s="122"/>
    </row>
    <row r="738">
      <c r="A738" s="154"/>
      <c r="B738" s="126"/>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c r="AD738" s="122"/>
    </row>
    <row r="739">
      <c r="A739" s="154"/>
      <c r="B739" s="126"/>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c r="AD739" s="122"/>
    </row>
    <row r="740">
      <c r="A740" s="154"/>
      <c r="B740" s="126"/>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c r="AD740" s="122"/>
    </row>
    <row r="741">
      <c r="A741" s="154"/>
      <c r="B741" s="126"/>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c r="AD741" s="122"/>
    </row>
    <row r="742">
      <c r="A742" s="154"/>
      <c r="B742" s="126"/>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c r="AD742" s="122"/>
    </row>
    <row r="743">
      <c r="A743" s="154"/>
      <c r="B743" s="126"/>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c r="AD743" s="122"/>
    </row>
    <row r="744">
      <c r="A744" s="154"/>
      <c r="B744" s="126"/>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c r="AD744" s="122"/>
    </row>
    <row r="745">
      <c r="A745" s="154"/>
      <c r="B745" s="126"/>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c r="AD745" s="122"/>
    </row>
    <row r="746">
      <c r="A746" s="154"/>
      <c r="B746" s="126"/>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c r="AD746" s="122"/>
    </row>
    <row r="747">
      <c r="A747" s="154"/>
      <c r="B747" s="126"/>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c r="AD747" s="122"/>
    </row>
    <row r="748">
      <c r="A748" s="154"/>
      <c r="B748" s="126"/>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c r="AD748" s="122"/>
    </row>
    <row r="749">
      <c r="A749" s="154"/>
      <c r="B749" s="126"/>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c r="AD749" s="122"/>
    </row>
    <row r="750">
      <c r="A750" s="154"/>
      <c r="B750" s="126"/>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c r="AD750" s="122"/>
    </row>
    <row r="751">
      <c r="A751" s="154"/>
      <c r="B751" s="126"/>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c r="AD751" s="122"/>
    </row>
    <row r="752">
      <c r="A752" s="154"/>
      <c r="B752" s="126"/>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2"/>
    </row>
    <row r="753">
      <c r="A753" s="154"/>
      <c r="B753" s="126"/>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c r="AD753" s="122"/>
    </row>
    <row r="754">
      <c r="A754" s="154"/>
      <c r="B754" s="126"/>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c r="AD754" s="122"/>
    </row>
    <row r="755">
      <c r="A755" s="154"/>
      <c r="B755" s="126"/>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c r="AD755" s="122"/>
    </row>
    <row r="756">
      <c r="A756" s="154"/>
      <c r="B756" s="126"/>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c r="AD756" s="122"/>
    </row>
    <row r="757">
      <c r="A757" s="154"/>
      <c r="B757" s="126"/>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c r="AD757" s="122"/>
    </row>
    <row r="758">
      <c r="A758" s="154"/>
      <c r="B758" s="126"/>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c r="AD758" s="122"/>
    </row>
    <row r="759">
      <c r="A759" s="154"/>
      <c r="B759" s="126"/>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c r="AD759" s="122"/>
    </row>
    <row r="760">
      <c r="A760" s="154"/>
      <c r="B760" s="126"/>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c r="AD760" s="122"/>
    </row>
    <row r="761">
      <c r="A761" s="154"/>
      <c r="B761" s="126"/>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c r="AD761" s="122"/>
    </row>
    <row r="762">
      <c r="A762" s="154"/>
      <c r="B762" s="126"/>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c r="AD762" s="122"/>
    </row>
    <row r="763">
      <c r="A763" s="154"/>
      <c r="B763" s="126"/>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c r="AD763" s="122"/>
    </row>
    <row r="764">
      <c r="A764" s="154"/>
      <c r="B764" s="126"/>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c r="AD764" s="122"/>
    </row>
    <row r="765">
      <c r="A765" s="154"/>
      <c r="B765" s="126"/>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c r="AD765" s="122"/>
    </row>
    <row r="766">
      <c r="A766" s="154"/>
      <c r="B766" s="126"/>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c r="AD766" s="122"/>
    </row>
    <row r="767">
      <c r="A767" s="154"/>
      <c r="B767" s="126"/>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c r="AD767" s="122"/>
    </row>
    <row r="768">
      <c r="A768" s="154"/>
      <c r="B768" s="126"/>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c r="AD768" s="122"/>
    </row>
    <row r="769">
      <c r="A769" s="154"/>
      <c r="B769" s="126"/>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c r="AD769" s="122"/>
    </row>
    <row r="770">
      <c r="A770" s="154"/>
      <c r="B770" s="126"/>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c r="AD770" s="122"/>
    </row>
    <row r="771">
      <c r="A771" s="154"/>
      <c r="B771" s="126"/>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c r="AD771" s="122"/>
    </row>
    <row r="772">
      <c r="A772" s="154"/>
      <c r="B772" s="126"/>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c r="AD772" s="122"/>
    </row>
    <row r="773">
      <c r="A773" s="154"/>
      <c r="B773" s="126"/>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c r="AD773" s="122"/>
    </row>
    <row r="774">
      <c r="A774" s="154"/>
      <c r="B774" s="126"/>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c r="AD774" s="122"/>
    </row>
    <row r="775">
      <c r="A775" s="154"/>
      <c r="B775" s="126"/>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c r="AD775" s="122"/>
    </row>
    <row r="776">
      <c r="A776" s="154"/>
      <c r="B776" s="126"/>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c r="AD776" s="122"/>
    </row>
    <row r="777">
      <c r="A777" s="154"/>
      <c r="B777" s="126"/>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c r="AD777" s="122"/>
    </row>
    <row r="778">
      <c r="A778" s="154"/>
      <c r="B778" s="126"/>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c r="AD778" s="122"/>
    </row>
    <row r="779">
      <c r="A779" s="154"/>
      <c r="B779" s="126"/>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c r="AD779" s="122"/>
    </row>
    <row r="780">
      <c r="A780" s="154"/>
      <c r="B780" s="126"/>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c r="AD780" s="122"/>
    </row>
    <row r="781">
      <c r="A781" s="154"/>
      <c r="B781" s="126"/>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c r="AD781" s="122"/>
    </row>
    <row r="782">
      <c r="A782" s="154"/>
      <c r="B782" s="126"/>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c r="AD782" s="122"/>
    </row>
    <row r="783">
      <c r="A783" s="154"/>
      <c r="B783" s="126"/>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c r="AD783" s="122"/>
    </row>
    <row r="784">
      <c r="A784" s="154"/>
      <c r="B784" s="126"/>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c r="AD784" s="122"/>
    </row>
    <row r="785">
      <c r="A785" s="154"/>
      <c r="B785" s="126"/>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c r="AD785" s="122"/>
    </row>
    <row r="786">
      <c r="A786" s="154"/>
      <c r="B786" s="126"/>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c r="AD786" s="122"/>
    </row>
    <row r="787">
      <c r="A787" s="154"/>
      <c r="B787" s="126"/>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c r="AD787" s="122"/>
    </row>
    <row r="788">
      <c r="A788" s="154"/>
      <c r="B788" s="126"/>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c r="AD788" s="122"/>
    </row>
    <row r="789">
      <c r="A789" s="154"/>
      <c r="B789" s="126"/>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c r="AD789" s="122"/>
    </row>
    <row r="790">
      <c r="A790" s="154"/>
      <c r="B790" s="126"/>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c r="AD790" s="122"/>
    </row>
    <row r="791">
      <c r="A791" s="154"/>
      <c r="B791" s="126"/>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c r="AD791" s="122"/>
    </row>
    <row r="792">
      <c r="A792" s="154"/>
      <c r="B792" s="126"/>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c r="AD792" s="122"/>
    </row>
    <row r="793">
      <c r="A793" s="154"/>
      <c r="B793" s="126"/>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c r="AD793" s="122"/>
    </row>
    <row r="794">
      <c r="A794" s="154"/>
      <c r="B794" s="126"/>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c r="AD794" s="122"/>
    </row>
    <row r="795">
      <c r="A795" s="154"/>
      <c r="B795" s="126"/>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c r="AD795" s="122"/>
    </row>
    <row r="796">
      <c r="A796" s="154"/>
      <c r="B796" s="126"/>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c r="AD796" s="122"/>
    </row>
    <row r="797">
      <c r="A797" s="154"/>
      <c r="B797" s="126"/>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c r="AD797" s="122"/>
    </row>
    <row r="798">
      <c r="A798" s="154"/>
      <c r="B798" s="126"/>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c r="AD798" s="122"/>
    </row>
    <row r="799">
      <c r="A799" s="154"/>
      <c r="B799" s="126"/>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c r="AD799" s="122"/>
    </row>
    <row r="800">
      <c r="A800" s="154"/>
      <c r="B800" s="126"/>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c r="AD800" s="122"/>
    </row>
    <row r="801">
      <c r="A801" s="154"/>
      <c r="B801" s="126"/>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c r="AD801" s="122"/>
    </row>
    <row r="802">
      <c r="A802" s="154"/>
      <c r="B802" s="126"/>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c r="AD802" s="122"/>
    </row>
    <row r="803">
      <c r="A803" s="154"/>
      <c r="B803" s="126"/>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c r="AD803" s="122"/>
    </row>
    <row r="804">
      <c r="A804" s="154"/>
      <c r="B804" s="126"/>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c r="AD804" s="122"/>
    </row>
    <row r="805">
      <c r="A805" s="154"/>
      <c r="B805" s="126"/>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c r="AD805" s="122"/>
    </row>
    <row r="806">
      <c r="A806" s="154"/>
      <c r="B806" s="126"/>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c r="AD806" s="122"/>
    </row>
    <row r="807">
      <c r="A807" s="154"/>
      <c r="B807" s="126"/>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c r="AD807" s="122"/>
    </row>
    <row r="808">
      <c r="A808" s="154"/>
      <c r="B808" s="126"/>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c r="AD808" s="122"/>
    </row>
    <row r="809">
      <c r="A809" s="154"/>
      <c r="B809" s="126"/>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c r="AD809" s="122"/>
    </row>
    <row r="810">
      <c r="A810" s="154"/>
      <c r="B810" s="126"/>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c r="AD810" s="122"/>
    </row>
    <row r="811">
      <c r="A811" s="154"/>
      <c r="B811" s="126"/>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c r="AD811" s="122"/>
    </row>
    <row r="812">
      <c r="A812" s="154"/>
      <c r="B812" s="126"/>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c r="AD812" s="122"/>
    </row>
    <row r="813">
      <c r="A813" s="154"/>
      <c r="B813" s="126"/>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c r="AD813" s="122"/>
    </row>
    <row r="814">
      <c r="A814" s="154"/>
      <c r="B814" s="126"/>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c r="AD814" s="122"/>
    </row>
    <row r="815">
      <c r="A815" s="154"/>
      <c r="B815" s="126"/>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c r="AD815" s="122"/>
    </row>
    <row r="816">
      <c r="A816" s="154"/>
      <c r="B816" s="126"/>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c r="AD816" s="122"/>
    </row>
    <row r="817">
      <c r="A817" s="154"/>
      <c r="B817" s="126"/>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c r="AD817" s="122"/>
    </row>
    <row r="818">
      <c r="A818" s="154"/>
      <c r="B818" s="126"/>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c r="AD818" s="122"/>
    </row>
    <row r="819">
      <c r="A819" s="154"/>
      <c r="B819" s="126"/>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c r="AD819" s="122"/>
    </row>
    <row r="820">
      <c r="A820" s="154"/>
      <c r="B820" s="126"/>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c r="AD820" s="122"/>
    </row>
    <row r="821">
      <c r="A821" s="154"/>
      <c r="B821" s="126"/>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c r="AD821" s="122"/>
    </row>
    <row r="822">
      <c r="A822" s="154"/>
      <c r="B822" s="126"/>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c r="AD822" s="122"/>
    </row>
    <row r="823">
      <c r="A823" s="154"/>
      <c r="B823" s="126"/>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c r="AD823" s="122"/>
    </row>
    <row r="824">
      <c r="A824" s="154"/>
      <c r="B824" s="126"/>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c r="AD824" s="122"/>
    </row>
    <row r="825">
      <c r="A825" s="154"/>
      <c r="B825" s="126"/>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c r="AD825" s="122"/>
    </row>
    <row r="826">
      <c r="A826" s="154"/>
      <c r="B826" s="126"/>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c r="AD826" s="122"/>
    </row>
    <row r="827">
      <c r="A827" s="154"/>
      <c r="B827" s="126"/>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c r="AD827" s="122"/>
    </row>
    <row r="828">
      <c r="A828" s="154"/>
      <c r="B828" s="126"/>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c r="AD828" s="122"/>
    </row>
    <row r="829">
      <c r="A829" s="154"/>
      <c r="B829" s="126"/>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c r="AD829" s="122"/>
    </row>
    <row r="830">
      <c r="A830" s="154"/>
      <c r="B830" s="126"/>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c r="AD830" s="122"/>
    </row>
    <row r="831">
      <c r="A831" s="154"/>
      <c r="B831" s="126"/>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c r="AD831" s="122"/>
    </row>
    <row r="832">
      <c r="A832" s="154"/>
      <c r="B832" s="126"/>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c r="AD832" s="122"/>
    </row>
    <row r="833">
      <c r="A833" s="154"/>
      <c r="B833" s="126"/>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c r="AD833" s="122"/>
    </row>
    <row r="834">
      <c r="A834" s="154"/>
      <c r="B834" s="126"/>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c r="AD834" s="122"/>
    </row>
    <row r="835">
      <c r="A835" s="154"/>
      <c r="B835" s="126"/>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c r="AD835" s="122"/>
    </row>
    <row r="836">
      <c r="A836" s="154"/>
      <c r="B836" s="126"/>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c r="AD836" s="122"/>
    </row>
    <row r="837">
      <c r="A837" s="154"/>
      <c r="B837" s="126"/>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c r="AD837" s="122"/>
    </row>
    <row r="838">
      <c r="A838" s="154"/>
      <c r="B838" s="126"/>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c r="AD838" s="122"/>
    </row>
    <row r="839">
      <c r="A839" s="154"/>
      <c r="B839" s="126"/>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c r="AD839" s="122"/>
    </row>
    <row r="840">
      <c r="A840" s="154"/>
      <c r="B840" s="126"/>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c r="AD840" s="122"/>
    </row>
    <row r="841">
      <c r="A841" s="154"/>
      <c r="B841" s="126"/>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c r="AD841" s="122"/>
    </row>
    <row r="842">
      <c r="A842" s="154"/>
      <c r="B842" s="126"/>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c r="AD842" s="122"/>
    </row>
    <row r="843">
      <c r="A843" s="154"/>
      <c r="B843" s="126"/>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c r="AD843" s="122"/>
    </row>
    <row r="844">
      <c r="A844" s="154"/>
      <c r="B844" s="126"/>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c r="AD844" s="122"/>
    </row>
    <row r="845">
      <c r="A845" s="154"/>
      <c r="B845" s="126"/>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c r="AD845" s="122"/>
    </row>
    <row r="846">
      <c r="A846" s="154"/>
      <c r="B846" s="126"/>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c r="AD846" s="122"/>
    </row>
    <row r="847">
      <c r="A847" s="154"/>
      <c r="B847" s="126"/>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c r="AD847" s="122"/>
    </row>
    <row r="848">
      <c r="A848" s="154"/>
      <c r="B848" s="126"/>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c r="AD848" s="122"/>
    </row>
    <row r="849">
      <c r="A849" s="154"/>
      <c r="B849" s="126"/>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c r="AD849" s="122"/>
    </row>
    <row r="850">
      <c r="A850" s="154"/>
      <c r="B850" s="126"/>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c r="AD850" s="122"/>
    </row>
    <row r="851">
      <c r="A851" s="154"/>
      <c r="B851" s="126"/>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c r="AD851" s="122"/>
    </row>
    <row r="852">
      <c r="A852" s="154"/>
      <c r="B852" s="126"/>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c r="AD852" s="122"/>
    </row>
    <row r="853">
      <c r="A853" s="154"/>
      <c r="B853" s="126"/>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c r="AD853" s="122"/>
    </row>
    <row r="854">
      <c r="A854" s="154"/>
      <c r="B854" s="126"/>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c r="AD854" s="122"/>
    </row>
    <row r="855">
      <c r="A855" s="154"/>
      <c r="B855" s="126"/>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c r="AD855" s="122"/>
    </row>
    <row r="856">
      <c r="A856" s="154"/>
      <c r="B856" s="126"/>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c r="AD856" s="122"/>
    </row>
    <row r="857">
      <c r="A857" s="154"/>
      <c r="B857" s="126"/>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c r="AD857" s="122"/>
    </row>
    <row r="858">
      <c r="A858" s="154"/>
      <c r="B858" s="126"/>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c r="AD858" s="122"/>
    </row>
    <row r="859">
      <c r="A859" s="154"/>
      <c r="B859" s="126"/>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c r="AD859" s="122"/>
    </row>
    <row r="860">
      <c r="A860" s="154"/>
      <c r="B860" s="126"/>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c r="AD860" s="122"/>
    </row>
    <row r="861">
      <c r="A861" s="154"/>
      <c r="B861" s="126"/>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c r="AD861" s="122"/>
    </row>
    <row r="862">
      <c r="A862" s="154"/>
      <c r="B862" s="126"/>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c r="AD862" s="122"/>
    </row>
    <row r="863">
      <c r="A863" s="154"/>
      <c r="B863" s="126"/>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c r="AD863" s="122"/>
    </row>
    <row r="864">
      <c r="A864" s="154"/>
      <c r="B864" s="126"/>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c r="AD864" s="122"/>
    </row>
    <row r="865">
      <c r="A865" s="154"/>
      <c r="B865" s="126"/>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c r="AD865" s="122"/>
    </row>
    <row r="866">
      <c r="A866" s="154"/>
      <c r="B866" s="126"/>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c r="AD866" s="122"/>
    </row>
    <row r="867">
      <c r="A867" s="154"/>
      <c r="B867" s="126"/>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c r="AD867" s="122"/>
    </row>
    <row r="868">
      <c r="A868" s="154"/>
      <c r="B868" s="126"/>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c r="AD868" s="122"/>
    </row>
    <row r="869">
      <c r="A869" s="154"/>
      <c r="B869" s="126"/>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c r="AD869" s="122"/>
    </row>
    <row r="870">
      <c r="A870" s="154"/>
      <c r="B870" s="126"/>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c r="AD870" s="122"/>
    </row>
    <row r="871">
      <c r="A871" s="154"/>
      <c r="B871" s="126"/>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c r="AD871" s="122"/>
    </row>
    <row r="872">
      <c r="A872" s="154"/>
      <c r="B872" s="126"/>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c r="AD872" s="122"/>
    </row>
    <row r="873">
      <c r="A873" s="154"/>
      <c r="B873" s="126"/>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c r="AD873" s="122"/>
    </row>
    <row r="874">
      <c r="A874" s="154"/>
      <c r="B874" s="126"/>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c r="AD874" s="122"/>
    </row>
    <row r="875">
      <c r="A875" s="154"/>
      <c r="B875" s="126"/>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c r="AD875" s="122"/>
    </row>
    <row r="876">
      <c r="A876" s="154"/>
      <c r="B876" s="126"/>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c r="AD876" s="122"/>
    </row>
    <row r="877">
      <c r="A877" s="154"/>
      <c r="B877" s="126"/>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c r="AD877" s="122"/>
    </row>
    <row r="878">
      <c r="A878" s="154"/>
      <c r="B878" s="126"/>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c r="AD878" s="122"/>
    </row>
    <row r="879">
      <c r="A879" s="154"/>
      <c r="B879" s="126"/>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c r="AD879" s="122"/>
    </row>
    <row r="880">
      <c r="A880" s="154"/>
      <c r="B880" s="126"/>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c r="AD880" s="122"/>
    </row>
    <row r="881">
      <c r="A881" s="154"/>
      <c r="B881" s="126"/>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c r="AD881" s="122"/>
    </row>
    <row r="882">
      <c r="A882" s="154"/>
      <c r="B882" s="126"/>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c r="AD882" s="122"/>
    </row>
    <row r="883">
      <c r="A883" s="154"/>
      <c r="B883" s="126"/>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c r="AD883" s="122"/>
    </row>
    <row r="884">
      <c r="A884" s="154"/>
      <c r="B884" s="126"/>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c r="AD884" s="122"/>
    </row>
    <row r="885">
      <c r="A885" s="154"/>
      <c r="B885" s="126"/>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c r="AD885" s="122"/>
    </row>
    <row r="886">
      <c r="A886" s="154"/>
      <c r="B886" s="126"/>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c r="AD886" s="122"/>
    </row>
    <row r="887">
      <c r="A887" s="154"/>
      <c r="B887" s="126"/>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c r="AD887" s="122"/>
    </row>
    <row r="888">
      <c r="A888" s="154"/>
      <c r="B888" s="126"/>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c r="AD888" s="122"/>
    </row>
    <row r="889">
      <c r="A889" s="154"/>
      <c r="B889" s="126"/>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c r="AD889" s="122"/>
    </row>
    <row r="890">
      <c r="A890" s="154"/>
      <c r="B890" s="126"/>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c r="AD890" s="122"/>
    </row>
    <row r="891">
      <c r="A891" s="154"/>
      <c r="B891" s="126"/>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c r="AD891" s="122"/>
    </row>
    <row r="892">
      <c r="A892" s="154"/>
      <c r="B892" s="126"/>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c r="AD892" s="122"/>
    </row>
    <row r="893">
      <c r="A893" s="154"/>
      <c r="B893" s="126"/>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c r="AD893" s="122"/>
    </row>
    <row r="894">
      <c r="A894" s="154"/>
      <c r="B894" s="126"/>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c r="AD894" s="122"/>
    </row>
    <row r="895">
      <c r="A895" s="154"/>
      <c r="B895" s="126"/>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c r="AD895" s="122"/>
    </row>
    <row r="896">
      <c r="A896" s="154"/>
      <c r="B896" s="126"/>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c r="AD896" s="122"/>
    </row>
    <row r="897">
      <c r="A897" s="154"/>
      <c r="B897" s="126"/>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c r="AD897" s="122"/>
    </row>
    <row r="898">
      <c r="A898" s="154"/>
      <c r="B898" s="126"/>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c r="AD898" s="122"/>
    </row>
    <row r="899">
      <c r="A899" s="154"/>
      <c r="B899" s="126"/>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c r="AD899" s="122"/>
    </row>
    <row r="900">
      <c r="A900" s="154"/>
      <c r="B900" s="126"/>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c r="AD900" s="122"/>
    </row>
    <row r="901">
      <c r="A901" s="154"/>
      <c r="B901" s="126"/>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c r="AD901" s="122"/>
    </row>
    <row r="902">
      <c r="A902" s="154"/>
      <c r="B902" s="126"/>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c r="AD902" s="122"/>
    </row>
    <row r="903">
      <c r="A903" s="154"/>
      <c r="B903" s="126"/>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c r="AD903" s="122"/>
    </row>
    <row r="904">
      <c r="A904" s="154"/>
      <c r="B904" s="126"/>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c r="AD904" s="122"/>
    </row>
    <row r="905">
      <c r="A905" s="154"/>
      <c r="B905" s="126"/>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c r="AD905" s="122"/>
    </row>
    <row r="906">
      <c r="A906" s="154"/>
      <c r="B906" s="126"/>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c r="AD906" s="122"/>
    </row>
    <row r="907">
      <c r="A907" s="154"/>
      <c r="B907" s="126"/>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c r="AD907" s="122"/>
    </row>
    <row r="908">
      <c r="A908" s="154"/>
      <c r="B908" s="126"/>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c r="AD908" s="122"/>
    </row>
    <row r="909">
      <c r="A909" s="154"/>
      <c r="B909" s="126"/>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c r="AD909" s="122"/>
    </row>
    <row r="910">
      <c r="A910" s="154"/>
      <c r="B910" s="126"/>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row>
    <row r="911">
      <c r="A911" s="154"/>
      <c r="B911" s="126"/>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row>
    <row r="912">
      <c r="A912" s="154"/>
      <c r="B912" s="126"/>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c r="AD912" s="122"/>
    </row>
    <row r="913">
      <c r="A913" s="154"/>
      <c r="B913" s="126"/>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c r="AD913" s="122"/>
    </row>
    <row r="914">
      <c r="A914" s="154"/>
      <c r="B914" s="126"/>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c r="AD914" s="122"/>
    </row>
    <row r="915">
      <c r="A915" s="154"/>
      <c r="B915" s="126"/>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c r="AD915" s="122"/>
    </row>
    <row r="916">
      <c r="A916" s="154"/>
      <c r="B916" s="126"/>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c r="AD916" s="122"/>
    </row>
    <row r="917">
      <c r="A917" s="154"/>
      <c r="B917" s="126"/>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c r="AD917" s="122"/>
    </row>
    <row r="918">
      <c r="A918" s="154"/>
      <c r="B918" s="126"/>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c r="AD918" s="122"/>
    </row>
    <row r="919">
      <c r="A919" s="154"/>
      <c r="B919" s="126"/>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c r="AD919" s="122"/>
    </row>
    <row r="920">
      <c r="A920" s="154"/>
      <c r="B920" s="126"/>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c r="AD920" s="122"/>
    </row>
    <row r="921">
      <c r="A921" s="154"/>
      <c r="B921" s="126"/>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c r="AD921" s="122"/>
    </row>
    <row r="922">
      <c r="A922" s="154"/>
      <c r="B922" s="126"/>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c r="AD922" s="122"/>
    </row>
    <row r="923">
      <c r="A923" s="154"/>
      <c r="B923" s="126"/>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c r="AD923" s="122"/>
    </row>
    <row r="924">
      <c r="A924" s="154"/>
      <c r="B924" s="126"/>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c r="AD924" s="122"/>
    </row>
    <row r="925">
      <c r="A925" s="154"/>
      <c r="B925" s="126"/>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c r="AD925" s="122"/>
    </row>
    <row r="926">
      <c r="A926" s="154"/>
      <c r="B926" s="126"/>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c r="AD926" s="122"/>
    </row>
    <row r="927">
      <c r="A927" s="154"/>
      <c r="B927" s="126"/>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c r="AD927" s="122"/>
    </row>
    <row r="928">
      <c r="A928" s="154"/>
      <c r="B928" s="126"/>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c r="AD928" s="122"/>
    </row>
    <row r="929">
      <c r="A929" s="154"/>
      <c r="B929" s="126"/>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c r="AD929" s="122"/>
    </row>
    <row r="930">
      <c r="A930" s="154"/>
      <c r="B930" s="126"/>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c r="AD930" s="122"/>
    </row>
    <row r="931">
      <c r="A931" s="154"/>
      <c r="B931" s="126"/>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c r="AD931" s="122"/>
    </row>
    <row r="932">
      <c r="A932" s="154"/>
      <c r="B932" s="126"/>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c r="AD932" s="122"/>
    </row>
    <row r="933">
      <c r="A933" s="154"/>
      <c r="B933" s="126"/>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c r="AD933" s="122"/>
    </row>
    <row r="934">
      <c r="A934" s="154"/>
      <c r="B934" s="126"/>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c r="AD934" s="122"/>
    </row>
    <row r="935">
      <c r="A935" s="154"/>
      <c r="B935" s="126"/>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c r="AD935" s="122"/>
    </row>
    <row r="936">
      <c r="A936" s="154"/>
      <c r="B936" s="126"/>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c r="AD936" s="122"/>
    </row>
    <row r="937">
      <c r="A937" s="154"/>
      <c r="B937" s="126"/>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c r="AD937" s="122"/>
    </row>
    <row r="938">
      <c r="A938" s="154"/>
      <c r="B938" s="126"/>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c r="AD938" s="122"/>
    </row>
    <row r="939">
      <c r="A939" s="154"/>
      <c r="B939" s="126"/>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c r="AD939" s="122"/>
    </row>
    <row r="940">
      <c r="A940" s="154"/>
      <c r="B940" s="126"/>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c r="AD940" s="122"/>
    </row>
    <row r="941">
      <c r="A941" s="154"/>
      <c r="B941" s="126"/>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c r="AD941" s="122"/>
    </row>
    <row r="942">
      <c r="A942" s="154"/>
      <c r="B942" s="126"/>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c r="AD942" s="122"/>
    </row>
    <row r="943">
      <c r="A943" s="154"/>
      <c r="B943" s="126"/>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c r="AD943" s="122"/>
    </row>
    <row r="944">
      <c r="A944" s="154"/>
      <c r="B944" s="126"/>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c r="AD944" s="122"/>
    </row>
    <row r="945">
      <c r="A945" s="154"/>
      <c r="B945" s="126"/>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c r="AD945" s="122"/>
    </row>
    <row r="946">
      <c r="A946" s="154"/>
      <c r="B946" s="126"/>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c r="AD946" s="122"/>
    </row>
    <row r="947">
      <c r="A947" s="154"/>
      <c r="B947" s="126"/>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c r="AD947" s="122"/>
    </row>
    <row r="948">
      <c r="A948" s="154"/>
      <c r="B948" s="126"/>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c r="AD948" s="122"/>
    </row>
    <row r="949">
      <c r="A949" s="154"/>
      <c r="B949" s="126"/>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c r="AD949" s="122"/>
    </row>
    <row r="950">
      <c r="A950" s="154"/>
      <c r="B950" s="126"/>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c r="AD950" s="122"/>
    </row>
    <row r="951">
      <c r="A951" s="154"/>
      <c r="B951" s="126"/>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c r="AD951" s="122"/>
    </row>
    <row r="952">
      <c r="A952" s="154"/>
      <c r="B952" s="126"/>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c r="AD952" s="122"/>
    </row>
    <row r="953">
      <c r="A953" s="154"/>
      <c r="B953" s="126"/>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c r="AD953" s="122"/>
    </row>
    <row r="954">
      <c r="A954" s="154"/>
      <c r="B954" s="126"/>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c r="AD954" s="122"/>
    </row>
    <row r="955">
      <c r="A955" s="154"/>
      <c r="B955" s="126"/>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c r="AD955" s="122"/>
    </row>
    <row r="956">
      <c r="A956" s="154"/>
      <c r="B956" s="126"/>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c r="AD956" s="122"/>
    </row>
    <row r="957">
      <c r="A957" s="154"/>
      <c r="B957" s="126"/>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c r="AD957" s="122"/>
    </row>
    <row r="958">
      <c r="A958" s="154"/>
      <c r="B958" s="126"/>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c r="AD958" s="122"/>
    </row>
    <row r="959">
      <c r="A959" s="154"/>
      <c r="B959" s="126"/>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c r="AD959" s="122"/>
    </row>
    <row r="960">
      <c r="A960" s="154"/>
      <c r="B960" s="126"/>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c r="AD960" s="122"/>
    </row>
    <row r="961">
      <c r="A961" s="154"/>
      <c r="B961" s="126"/>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c r="AD961" s="122"/>
    </row>
    <row r="962">
      <c r="A962" s="154"/>
      <c r="B962" s="126"/>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2"/>
      <c r="AD962" s="122"/>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0"/>
    <col customWidth="1" min="2" max="2" width="39.25"/>
    <col customWidth="1" min="3" max="21" width="7.63"/>
    <col customWidth="1" min="22" max="22" width="8.88"/>
    <col customWidth="1" min="23" max="27" width="7.63"/>
    <col customWidth="1" min="28" max="28" width="15.88"/>
    <col customWidth="1" min="29" max="29" width="7.63"/>
  </cols>
  <sheetData>
    <row r="1">
      <c r="A1" s="150"/>
      <c r="B1" s="30" t="s">
        <v>58</v>
      </c>
      <c r="C1" s="30" t="s">
        <v>5</v>
      </c>
      <c r="D1" s="31"/>
      <c r="E1" s="31"/>
      <c r="F1" s="30"/>
      <c r="G1" s="30"/>
      <c r="H1" s="30"/>
      <c r="I1" s="30"/>
      <c r="J1" s="31"/>
      <c r="K1" s="31"/>
      <c r="L1" s="31"/>
      <c r="M1" s="30" t="s">
        <v>6</v>
      </c>
      <c r="N1" s="33"/>
      <c r="O1" s="33"/>
      <c r="P1" s="33"/>
      <c r="Q1" s="31"/>
      <c r="R1" s="30" t="s">
        <v>7</v>
      </c>
      <c r="S1" s="110"/>
      <c r="T1" s="31"/>
      <c r="U1" s="30"/>
      <c r="V1" s="31"/>
      <c r="W1" s="30" t="s">
        <v>8</v>
      </c>
      <c r="X1" s="111"/>
      <c r="Y1" s="31"/>
      <c r="Z1" s="31"/>
      <c r="AA1" s="112" t="s">
        <v>59</v>
      </c>
      <c r="AB1" s="113"/>
      <c r="AC1" s="113"/>
      <c r="AD1" s="113"/>
    </row>
    <row r="2">
      <c r="A2" s="150"/>
      <c r="B2" s="114" t="s">
        <v>30</v>
      </c>
      <c r="C2" s="115" t="s">
        <v>11</v>
      </c>
      <c r="D2" s="115" t="s">
        <v>12</v>
      </c>
      <c r="E2" s="114" t="s">
        <v>13</v>
      </c>
      <c r="F2" s="114" t="s">
        <v>14</v>
      </c>
      <c r="G2" s="114" t="s">
        <v>15</v>
      </c>
      <c r="H2" s="114" t="s">
        <v>60</v>
      </c>
      <c r="I2" s="114" t="s">
        <v>17</v>
      </c>
      <c r="J2" s="115" t="s">
        <v>18</v>
      </c>
      <c r="K2" s="114" t="s">
        <v>19</v>
      </c>
      <c r="L2" s="114" t="s">
        <v>61</v>
      </c>
      <c r="M2" s="114" t="s">
        <v>62</v>
      </c>
      <c r="N2" s="114" t="s">
        <v>63</v>
      </c>
      <c r="O2" s="114" t="s">
        <v>64</v>
      </c>
      <c r="P2" s="114" t="s">
        <v>65</v>
      </c>
      <c r="Q2" s="114" t="s">
        <v>66</v>
      </c>
      <c r="R2" s="114" t="s">
        <v>67</v>
      </c>
      <c r="S2" s="114" t="s">
        <v>68</v>
      </c>
      <c r="T2" s="114" t="s">
        <v>27</v>
      </c>
      <c r="U2" s="115" t="s">
        <v>28</v>
      </c>
      <c r="V2" s="114" t="s">
        <v>69</v>
      </c>
      <c r="W2" s="114" t="s">
        <v>67</v>
      </c>
      <c r="X2" s="114" t="s">
        <v>29</v>
      </c>
      <c r="Y2" s="114" t="s">
        <v>19</v>
      </c>
      <c r="Z2" s="114" t="s">
        <v>70</v>
      </c>
      <c r="AA2" s="116" t="s">
        <v>30</v>
      </c>
      <c r="AB2" s="113"/>
      <c r="AC2" s="113"/>
      <c r="AD2" s="113"/>
    </row>
    <row r="3">
      <c r="A3" s="137">
        <v>44233.0</v>
      </c>
      <c r="B3" s="131" t="s">
        <v>204</v>
      </c>
      <c r="C3" s="132"/>
      <c r="D3" s="132"/>
      <c r="E3" s="132"/>
      <c r="F3" s="132"/>
      <c r="G3" s="132"/>
      <c r="H3" s="132"/>
      <c r="I3" s="132"/>
      <c r="J3" s="132"/>
      <c r="K3" s="132"/>
      <c r="L3" s="132"/>
      <c r="M3" s="131" t="s">
        <v>72</v>
      </c>
      <c r="N3" s="130">
        <v>1650.0</v>
      </c>
      <c r="O3" s="132"/>
      <c r="P3" s="132"/>
      <c r="Q3" s="132"/>
      <c r="R3" s="132"/>
      <c r="S3" s="132"/>
      <c r="T3" s="132"/>
      <c r="U3" s="130">
        <v>1650.0</v>
      </c>
      <c r="V3" s="134"/>
      <c r="W3" s="132"/>
      <c r="X3" s="132"/>
      <c r="Y3" s="132"/>
      <c r="Z3" s="134"/>
      <c r="AA3" s="120">
        <f t="shared" ref="AA3:AA76" si="1">sum(C3:L3,N3:Q3)-sum(S3:Z3)</f>
        <v>0</v>
      </c>
      <c r="AB3" s="121"/>
      <c r="AC3" s="111"/>
      <c r="AD3" s="111"/>
    </row>
    <row r="4">
      <c r="A4" s="137">
        <v>44233.0</v>
      </c>
      <c r="B4" s="131" t="s">
        <v>127</v>
      </c>
      <c r="C4" s="132"/>
      <c r="D4" s="132"/>
      <c r="E4" s="132"/>
      <c r="F4" s="132"/>
      <c r="G4" s="132"/>
      <c r="H4" s="132"/>
      <c r="I4" s="132"/>
      <c r="J4" s="132"/>
      <c r="K4" s="132"/>
      <c r="L4" s="132"/>
      <c r="M4" s="131" t="s">
        <v>72</v>
      </c>
      <c r="N4" s="130">
        <v>2070.0</v>
      </c>
      <c r="O4" s="132"/>
      <c r="P4" s="132"/>
      <c r="Q4" s="132"/>
      <c r="R4" s="132"/>
      <c r="S4" s="132"/>
      <c r="T4" s="132"/>
      <c r="U4" s="130">
        <v>2070.0</v>
      </c>
      <c r="V4" s="134"/>
      <c r="W4" s="132"/>
      <c r="X4" s="132"/>
      <c r="Y4" s="132"/>
      <c r="Z4" s="134"/>
      <c r="AA4" s="120">
        <f t="shared" si="1"/>
        <v>0</v>
      </c>
      <c r="AB4" s="122"/>
      <c r="AC4" s="122"/>
      <c r="AD4" s="122"/>
    </row>
    <row r="5">
      <c r="A5" s="137">
        <v>44383.0</v>
      </c>
      <c r="B5" s="131" t="s">
        <v>74</v>
      </c>
      <c r="C5" s="132"/>
      <c r="D5" s="132"/>
      <c r="E5" s="132"/>
      <c r="F5" s="132"/>
      <c r="G5" s="132"/>
      <c r="H5" s="132"/>
      <c r="I5" s="132"/>
      <c r="J5" s="132"/>
      <c r="K5" s="132"/>
      <c r="L5" s="132"/>
      <c r="M5" s="131" t="s">
        <v>72</v>
      </c>
      <c r="N5" s="130">
        <v>5045.0</v>
      </c>
      <c r="O5" s="132"/>
      <c r="P5" s="132"/>
      <c r="Q5" s="132"/>
      <c r="R5" s="132"/>
      <c r="S5" s="132"/>
      <c r="T5" s="132"/>
      <c r="U5" s="130">
        <v>5045.0</v>
      </c>
      <c r="V5" s="134"/>
      <c r="W5" s="132"/>
      <c r="X5" s="132"/>
      <c r="Y5" s="132"/>
      <c r="Z5" s="134"/>
      <c r="AA5" s="120">
        <f t="shared" si="1"/>
        <v>0</v>
      </c>
      <c r="AB5" s="111"/>
      <c r="AC5" s="111"/>
      <c r="AD5" s="111"/>
    </row>
    <row r="6">
      <c r="A6" s="137">
        <v>44414.0</v>
      </c>
      <c r="B6" s="131" t="s">
        <v>205</v>
      </c>
      <c r="C6" s="132"/>
      <c r="D6" s="132"/>
      <c r="E6" s="132"/>
      <c r="F6" s="132"/>
      <c r="G6" s="132"/>
      <c r="H6" s="132"/>
      <c r="I6" s="132"/>
      <c r="J6" s="132"/>
      <c r="K6" s="132"/>
      <c r="L6" s="132"/>
      <c r="M6" s="131" t="s">
        <v>72</v>
      </c>
      <c r="N6" s="130">
        <v>480.0</v>
      </c>
      <c r="O6" s="132"/>
      <c r="P6" s="132"/>
      <c r="Q6" s="132"/>
      <c r="R6" s="132"/>
      <c r="S6" s="132"/>
      <c r="T6" s="132"/>
      <c r="U6" s="130">
        <v>480.0</v>
      </c>
      <c r="V6" s="134"/>
      <c r="W6" s="132"/>
      <c r="X6" s="132"/>
      <c r="Y6" s="132"/>
      <c r="Z6" s="134"/>
      <c r="AA6" s="120">
        <f t="shared" si="1"/>
        <v>0</v>
      </c>
      <c r="AB6" s="111"/>
      <c r="AC6" s="111"/>
      <c r="AD6" s="111"/>
    </row>
    <row r="7">
      <c r="A7" s="137">
        <v>44414.0</v>
      </c>
      <c r="B7" s="131" t="s">
        <v>127</v>
      </c>
      <c r="C7" s="132"/>
      <c r="D7" s="132"/>
      <c r="E7" s="132"/>
      <c r="F7" s="132"/>
      <c r="G7" s="132"/>
      <c r="H7" s="132"/>
      <c r="I7" s="132"/>
      <c r="J7" s="132"/>
      <c r="K7" s="132"/>
      <c r="L7" s="132"/>
      <c r="M7" s="131" t="s">
        <v>72</v>
      </c>
      <c r="N7" s="130">
        <v>1490.0</v>
      </c>
      <c r="O7" s="132"/>
      <c r="P7" s="132"/>
      <c r="Q7" s="132"/>
      <c r="R7" s="132"/>
      <c r="S7" s="132"/>
      <c r="T7" s="132"/>
      <c r="U7" s="130">
        <v>1490.0</v>
      </c>
      <c r="V7" s="134"/>
      <c r="W7" s="132"/>
      <c r="X7" s="132"/>
      <c r="Y7" s="132"/>
      <c r="Z7" s="134"/>
      <c r="AA7" s="120">
        <f t="shared" si="1"/>
        <v>0</v>
      </c>
      <c r="AB7" s="122"/>
      <c r="AC7" s="122"/>
      <c r="AD7" s="122"/>
    </row>
    <row r="8">
      <c r="A8" s="137">
        <v>44414.0</v>
      </c>
      <c r="B8" s="131" t="s">
        <v>127</v>
      </c>
      <c r="C8" s="132"/>
      <c r="D8" s="132"/>
      <c r="E8" s="132"/>
      <c r="F8" s="132"/>
      <c r="G8" s="132"/>
      <c r="H8" s="132"/>
      <c r="I8" s="132"/>
      <c r="J8" s="132"/>
      <c r="K8" s="132"/>
      <c r="L8" s="132"/>
      <c r="M8" s="131" t="s">
        <v>72</v>
      </c>
      <c r="N8" s="130">
        <v>1330.0</v>
      </c>
      <c r="O8" s="132"/>
      <c r="P8" s="132"/>
      <c r="Q8" s="132"/>
      <c r="R8" s="132"/>
      <c r="S8" s="132"/>
      <c r="T8" s="132"/>
      <c r="U8" s="130">
        <v>1330.0</v>
      </c>
      <c r="V8" s="134"/>
      <c r="W8" s="132"/>
      <c r="X8" s="132"/>
      <c r="Y8" s="132"/>
      <c r="Z8" s="134"/>
      <c r="AA8" s="120">
        <f t="shared" si="1"/>
        <v>0</v>
      </c>
      <c r="AB8" s="121"/>
      <c r="AC8" s="122"/>
      <c r="AD8" s="122"/>
    </row>
    <row r="9">
      <c r="A9" s="155">
        <v>44506.0</v>
      </c>
      <c r="B9" s="131" t="s">
        <v>127</v>
      </c>
      <c r="C9" s="132"/>
      <c r="D9" s="132"/>
      <c r="E9" s="132"/>
      <c r="F9" s="132"/>
      <c r="G9" s="132"/>
      <c r="H9" s="132"/>
      <c r="I9" s="132"/>
      <c r="J9" s="132"/>
      <c r="K9" s="132"/>
      <c r="L9" s="132"/>
      <c r="M9" s="131" t="s">
        <v>72</v>
      </c>
      <c r="N9" s="130">
        <v>2300.0</v>
      </c>
      <c r="O9" s="132"/>
      <c r="P9" s="132"/>
      <c r="Q9" s="132"/>
      <c r="R9" s="132"/>
      <c r="S9" s="132"/>
      <c r="T9" s="132"/>
      <c r="U9" s="130">
        <v>2300.0</v>
      </c>
      <c r="V9" s="134"/>
      <c r="W9" s="132"/>
      <c r="X9" s="132"/>
      <c r="Y9" s="132"/>
      <c r="Z9" s="134"/>
      <c r="AA9" s="120">
        <f t="shared" si="1"/>
        <v>0</v>
      </c>
      <c r="AB9" s="121"/>
      <c r="AC9" s="122"/>
      <c r="AD9" s="122"/>
    </row>
    <row r="10">
      <c r="A10" s="130" t="s">
        <v>206</v>
      </c>
      <c r="B10" s="131" t="s">
        <v>73</v>
      </c>
      <c r="C10" s="132"/>
      <c r="D10" s="132"/>
      <c r="E10" s="132"/>
      <c r="F10" s="132"/>
      <c r="G10" s="132"/>
      <c r="H10" s="132"/>
      <c r="I10" s="132"/>
      <c r="J10" s="132"/>
      <c r="K10" s="132"/>
      <c r="L10" s="132"/>
      <c r="M10" s="131" t="s">
        <v>72</v>
      </c>
      <c r="N10" s="130">
        <v>368.0</v>
      </c>
      <c r="O10" s="132"/>
      <c r="P10" s="132"/>
      <c r="Q10" s="132"/>
      <c r="R10" s="132"/>
      <c r="S10" s="132"/>
      <c r="T10" s="132"/>
      <c r="U10" s="130">
        <v>368.0</v>
      </c>
      <c r="V10" s="134"/>
      <c r="W10" s="132"/>
      <c r="X10" s="132"/>
      <c r="Y10" s="132"/>
      <c r="Z10" s="134"/>
      <c r="AA10" s="120">
        <f t="shared" si="1"/>
        <v>0</v>
      </c>
      <c r="AB10" s="122"/>
      <c r="AC10" s="122"/>
      <c r="AD10" s="122"/>
    </row>
    <row r="11">
      <c r="A11" s="130" t="s">
        <v>207</v>
      </c>
      <c r="B11" s="131" t="s">
        <v>73</v>
      </c>
      <c r="C11" s="132"/>
      <c r="D11" s="132"/>
      <c r="E11" s="132"/>
      <c r="F11" s="132"/>
      <c r="G11" s="132"/>
      <c r="H11" s="132"/>
      <c r="I11" s="132"/>
      <c r="J11" s="132"/>
      <c r="K11" s="132"/>
      <c r="L11" s="132"/>
      <c r="M11" s="131" t="s">
        <v>72</v>
      </c>
      <c r="N11" s="130">
        <v>237.0</v>
      </c>
      <c r="O11" s="132"/>
      <c r="P11" s="132"/>
      <c r="Q11" s="132"/>
      <c r="R11" s="132"/>
      <c r="S11" s="132"/>
      <c r="T11" s="132"/>
      <c r="U11" s="130">
        <v>237.0</v>
      </c>
      <c r="V11" s="134"/>
      <c r="W11" s="132"/>
      <c r="X11" s="132"/>
      <c r="Y11" s="132"/>
      <c r="Z11" s="134"/>
      <c r="AA11" s="120">
        <f t="shared" si="1"/>
        <v>0</v>
      </c>
      <c r="AB11" s="122"/>
      <c r="AC11" s="122"/>
      <c r="AD11" s="122"/>
    </row>
    <row r="12">
      <c r="A12" s="130" t="s">
        <v>207</v>
      </c>
      <c r="B12" s="131" t="s">
        <v>127</v>
      </c>
      <c r="C12" s="132"/>
      <c r="D12" s="132"/>
      <c r="E12" s="132"/>
      <c r="F12" s="132"/>
      <c r="G12" s="132"/>
      <c r="H12" s="132"/>
      <c r="I12" s="132"/>
      <c r="J12" s="132"/>
      <c r="K12" s="132"/>
      <c r="L12" s="132"/>
      <c r="M12" s="131" t="s">
        <v>72</v>
      </c>
      <c r="N12" s="130">
        <v>2158.0</v>
      </c>
      <c r="O12" s="132"/>
      <c r="P12" s="132"/>
      <c r="Q12" s="132"/>
      <c r="R12" s="132"/>
      <c r="S12" s="132"/>
      <c r="T12" s="132"/>
      <c r="U12" s="130">
        <v>2158.0</v>
      </c>
      <c r="V12" s="134"/>
      <c r="W12" s="132"/>
      <c r="X12" s="132"/>
      <c r="Y12" s="132"/>
      <c r="Z12" s="134"/>
      <c r="AA12" s="120">
        <f t="shared" si="1"/>
        <v>0</v>
      </c>
      <c r="AB12" s="122"/>
      <c r="AC12" s="122"/>
      <c r="AD12" s="122"/>
    </row>
    <row r="13">
      <c r="A13" s="130" t="s">
        <v>208</v>
      </c>
      <c r="B13" s="131" t="s">
        <v>74</v>
      </c>
      <c r="C13" s="132"/>
      <c r="D13" s="132"/>
      <c r="E13" s="132"/>
      <c r="F13" s="132"/>
      <c r="G13" s="132"/>
      <c r="H13" s="132"/>
      <c r="I13" s="132"/>
      <c r="J13" s="132"/>
      <c r="K13" s="132"/>
      <c r="L13" s="132"/>
      <c r="M13" s="131" t="s">
        <v>72</v>
      </c>
      <c r="N13" s="130">
        <v>4482.0</v>
      </c>
      <c r="O13" s="132"/>
      <c r="P13" s="132"/>
      <c r="Q13" s="132"/>
      <c r="R13" s="132"/>
      <c r="S13" s="132"/>
      <c r="T13" s="132"/>
      <c r="U13" s="130">
        <v>4482.0</v>
      </c>
      <c r="V13" s="134"/>
      <c r="W13" s="132"/>
      <c r="X13" s="132"/>
      <c r="Y13" s="132"/>
      <c r="Z13" s="134"/>
      <c r="AA13" s="120">
        <f t="shared" si="1"/>
        <v>0</v>
      </c>
      <c r="AB13" s="122"/>
      <c r="AC13" s="122"/>
      <c r="AD13" s="122"/>
    </row>
    <row r="14">
      <c r="A14" s="130" t="s">
        <v>209</v>
      </c>
      <c r="B14" s="131" t="s">
        <v>74</v>
      </c>
      <c r="C14" s="132"/>
      <c r="D14" s="132"/>
      <c r="E14" s="132"/>
      <c r="F14" s="132"/>
      <c r="G14" s="132"/>
      <c r="H14" s="132"/>
      <c r="I14" s="132"/>
      <c r="J14" s="132"/>
      <c r="K14" s="132"/>
      <c r="L14" s="132"/>
      <c r="M14" s="131" t="s">
        <v>72</v>
      </c>
      <c r="N14" s="130">
        <v>5732.0</v>
      </c>
      <c r="O14" s="132"/>
      <c r="P14" s="132"/>
      <c r="Q14" s="132"/>
      <c r="R14" s="132"/>
      <c r="S14" s="132"/>
      <c r="T14" s="132"/>
      <c r="U14" s="130">
        <v>5732.0</v>
      </c>
      <c r="V14" s="134"/>
      <c r="W14" s="132"/>
      <c r="X14" s="132"/>
      <c r="Y14" s="132"/>
      <c r="Z14" s="134"/>
      <c r="AA14" s="120">
        <f t="shared" si="1"/>
        <v>0</v>
      </c>
      <c r="AB14" s="122"/>
      <c r="AC14" s="122"/>
      <c r="AD14" s="122"/>
    </row>
    <row r="15">
      <c r="A15" s="130" t="s">
        <v>210</v>
      </c>
      <c r="B15" s="131" t="s">
        <v>73</v>
      </c>
      <c r="C15" s="132"/>
      <c r="D15" s="132"/>
      <c r="E15" s="132"/>
      <c r="F15" s="132"/>
      <c r="G15" s="132"/>
      <c r="H15" s="132"/>
      <c r="I15" s="132"/>
      <c r="J15" s="132"/>
      <c r="K15" s="132"/>
      <c r="L15" s="132"/>
      <c r="M15" s="131" t="s">
        <v>72</v>
      </c>
      <c r="N15" s="130">
        <v>162.0</v>
      </c>
      <c r="O15" s="132"/>
      <c r="P15" s="132"/>
      <c r="Q15" s="132"/>
      <c r="R15" s="132"/>
      <c r="S15" s="132"/>
      <c r="T15" s="132"/>
      <c r="U15" s="130">
        <v>162.0</v>
      </c>
      <c r="V15" s="134"/>
      <c r="W15" s="132"/>
      <c r="X15" s="132"/>
      <c r="Y15" s="132"/>
      <c r="Z15" s="134"/>
      <c r="AA15" s="120">
        <f t="shared" si="1"/>
        <v>0</v>
      </c>
      <c r="AB15" s="122"/>
      <c r="AC15" s="122"/>
      <c r="AD15" s="122"/>
    </row>
    <row r="16">
      <c r="A16" s="130" t="s">
        <v>211</v>
      </c>
      <c r="B16" s="131" t="s">
        <v>74</v>
      </c>
      <c r="C16" s="132"/>
      <c r="D16" s="132"/>
      <c r="E16" s="132"/>
      <c r="F16" s="132"/>
      <c r="G16" s="132"/>
      <c r="H16" s="132"/>
      <c r="I16" s="132"/>
      <c r="J16" s="132"/>
      <c r="K16" s="132"/>
      <c r="L16" s="132"/>
      <c r="M16" s="131" t="s">
        <v>72</v>
      </c>
      <c r="N16" s="130">
        <v>6222.0</v>
      </c>
      <c r="O16" s="132"/>
      <c r="P16" s="132"/>
      <c r="Q16" s="132"/>
      <c r="R16" s="132"/>
      <c r="S16" s="132"/>
      <c r="T16" s="132"/>
      <c r="U16" s="130">
        <v>6222.0</v>
      </c>
      <c r="V16" s="134"/>
      <c r="W16" s="132"/>
      <c r="X16" s="132"/>
      <c r="Y16" s="132"/>
      <c r="Z16" s="134"/>
      <c r="AA16" s="120">
        <f t="shared" si="1"/>
        <v>0</v>
      </c>
      <c r="AB16" s="121"/>
      <c r="AC16" s="122"/>
      <c r="AD16" s="122"/>
    </row>
    <row r="17">
      <c r="A17" s="130" t="s">
        <v>212</v>
      </c>
      <c r="B17" s="131" t="s">
        <v>73</v>
      </c>
      <c r="C17" s="132"/>
      <c r="D17" s="132"/>
      <c r="E17" s="132"/>
      <c r="F17" s="132"/>
      <c r="G17" s="132"/>
      <c r="H17" s="132"/>
      <c r="I17" s="132"/>
      <c r="J17" s="132"/>
      <c r="K17" s="132"/>
      <c r="L17" s="132"/>
      <c r="M17" s="131" t="s">
        <v>72</v>
      </c>
      <c r="N17" s="130">
        <v>368.0</v>
      </c>
      <c r="O17" s="132"/>
      <c r="P17" s="132"/>
      <c r="Q17" s="132"/>
      <c r="R17" s="132"/>
      <c r="S17" s="132"/>
      <c r="T17" s="132"/>
      <c r="U17" s="130">
        <v>368.0</v>
      </c>
      <c r="V17" s="134"/>
      <c r="W17" s="132"/>
      <c r="X17" s="132"/>
      <c r="Y17" s="132"/>
      <c r="Z17" s="134"/>
      <c r="AA17" s="120">
        <f t="shared" si="1"/>
        <v>0</v>
      </c>
      <c r="AB17" s="122"/>
      <c r="AC17" s="122"/>
      <c r="AD17" s="122"/>
    </row>
    <row r="18">
      <c r="A18" s="130" t="s">
        <v>211</v>
      </c>
      <c r="B18" s="131" t="s">
        <v>213</v>
      </c>
      <c r="C18" s="132"/>
      <c r="D18" s="132"/>
      <c r="E18" s="132"/>
      <c r="F18" s="132"/>
      <c r="G18" s="132"/>
      <c r="H18" s="132"/>
      <c r="I18" s="132"/>
      <c r="J18" s="132"/>
      <c r="K18" s="132"/>
      <c r="L18" s="132"/>
      <c r="M18" s="131" t="s">
        <v>72</v>
      </c>
      <c r="N18" s="130">
        <v>632.0</v>
      </c>
      <c r="O18" s="132"/>
      <c r="P18" s="132"/>
      <c r="Q18" s="134"/>
      <c r="R18" s="132"/>
      <c r="S18" s="132"/>
      <c r="T18" s="132"/>
      <c r="U18" s="130">
        <v>632.0</v>
      </c>
      <c r="V18" s="134"/>
      <c r="W18" s="132"/>
      <c r="X18" s="132"/>
      <c r="Y18" s="132"/>
      <c r="Z18" s="134"/>
      <c r="AA18" s="120">
        <f t="shared" si="1"/>
        <v>0</v>
      </c>
      <c r="AB18" s="111"/>
      <c r="AC18" s="111"/>
      <c r="AD18" s="111"/>
    </row>
    <row r="19">
      <c r="A19" s="130" t="s">
        <v>211</v>
      </c>
      <c r="B19" s="131" t="s">
        <v>213</v>
      </c>
      <c r="C19" s="132"/>
      <c r="D19" s="132"/>
      <c r="E19" s="132"/>
      <c r="F19" s="132"/>
      <c r="G19" s="132"/>
      <c r="H19" s="132"/>
      <c r="I19" s="132"/>
      <c r="J19" s="132"/>
      <c r="K19" s="132"/>
      <c r="L19" s="132"/>
      <c r="M19" s="131" t="s">
        <v>72</v>
      </c>
      <c r="N19" s="130">
        <v>50.0</v>
      </c>
      <c r="O19" s="132"/>
      <c r="P19" s="132"/>
      <c r="Q19" s="134"/>
      <c r="R19" s="132"/>
      <c r="S19" s="132"/>
      <c r="T19" s="132"/>
      <c r="U19" s="130">
        <v>50.0</v>
      </c>
      <c r="V19" s="134"/>
      <c r="W19" s="132"/>
      <c r="X19" s="132"/>
      <c r="Y19" s="132"/>
      <c r="Z19" s="134"/>
      <c r="AA19" s="120">
        <f t="shared" si="1"/>
        <v>0</v>
      </c>
      <c r="AB19" s="111"/>
      <c r="AC19" s="111"/>
      <c r="AD19" s="111"/>
    </row>
    <row r="20">
      <c r="A20" s="137">
        <v>44202.0</v>
      </c>
      <c r="B20" s="131" t="s">
        <v>189</v>
      </c>
      <c r="C20" s="132"/>
      <c r="D20" s="132"/>
      <c r="E20" s="132"/>
      <c r="F20" s="132"/>
      <c r="G20" s="132"/>
      <c r="H20" s="132"/>
      <c r="I20" s="132"/>
      <c r="J20" s="132"/>
      <c r="K20" s="132"/>
      <c r="L20" s="132"/>
      <c r="M20" s="131" t="s">
        <v>72</v>
      </c>
      <c r="N20" s="132"/>
      <c r="O20" s="132"/>
      <c r="P20" s="132"/>
      <c r="Q20" s="130">
        <v>305.0</v>
      </c>
      <c r="R20" s="132"/>
      <c r="S20" s="132"/>
      <c r="T20" s="132"/>
      <c r="U20" s="130">
        <v>305.0</v>
      </c>
      <c r="V20" s="134"/>
      <c r="W20" s="132"/>
      <c r="X20" s="132"/>
      <c r="Y20" s="132"/>
      <c r="Z20" s="134"/>
      <c r="AA20" s="120">
        <f t="shared" si="1"/>
        <v>0</v>
      </c>
      <c r="AB20" s="111"/>
      <c r="AC20" s="111"/>
      <c r="AD20" s="111"/>
    </row>
    <row r="21">
      <c r="A21" s="137">
        <v>44445.0</v>
      </c>
      <c r="B21" s="131" t="s">
        <v>189</v>
      </c>
      <c r="C21" s="132"/>
      <c r="D21" s="132"/>
      <c r="E21" s="132"/>
      <c r="F21" s="132"/>
      <c r="G21" s="132"/>
      <c r="H21" s="132"/>
      <c r="I21" s="132"/>
      <c r="J21" s="132"/>
      <c r="K21" s="132"/>
      <c r="L21" s="132"/>
      <c r="M21" s="131" t="s">
        <v>72</v>
      </c>
      <c r="N21" s="132"/>
      <c r="O21" s="132"/>
      <c r="P21" s="132"/>
      <c r="Q21" s="130">
        <v>217.0</v>
      </c>
      <c r="R21" s="132"/>
      <c r="S21" s="132"/>
      <c r="T21" s="132"/>
      <c r="U21" s="130">
        <v>217.0</v>
      </c>
      <c r="V21" s="134"/>
      <c r="W21" s="132"/>
      <c r="X21" s="132"/>
      <c r="Y21" s="132"/>
      <c r="Z21" s="134"/>
      <c r="AA21" s="120">
        <f t="shared" si="1"/>
        <v>0</v>
      </c>
      <c r="AB21" s="111"/>
      <c r="AC21" s="111"/>
      <c r="AD21" s="111"/>
    </row>
    <row r="22">
      <c r="A22" s="130" t="s">
        <v>214</v>
      </c>
      <c r="B22" s="131" t="s">
        <v>77</v>
      </c>
      <c r="C22" s="132"/>
      <c r="D22" s="132"/>
      <c r="E22" s="132"/>
      <c r="F22" s="132"/>
      <c r="G22" s="132"/>
      <c r="H22" s="132"/>
      <c r="I22" s="132"/>
      <c r="J22" s="132"/>
      <c r="K22" s="132"/>
      <c r="L22" s="132"/>
      <c r="M22" s="131" t="s">
        <v>72</v>
      </c>
      <c r="N22" s="132"/>
      <c r="O22" s="132"/>
      <c r="P22" s="132"/>
      <c r="Q22" s="130">
        <v>250.0</v>
      </c>
      <c r="R22" s="132"/>
      <c r="S22" s="132"/>
      <c r="T22" s="132"/>
      <c r="U22" s="130">
        <v>250.0</v>
      </c>
      <c r="V22" s="134"/>
      <c r="W22" s="132"/>
      <c r="X22" s="132"/>
      <c r="Y22" s="132"/>
      <c r="Z22" s="134"/>
      <c r="AA22" s="120">
        <f t="shared" si="1"/>
        <v>0</v>
      </c>
      <c r="AB22" s="122"/>
      <c r="AC22" s="122"/>
      <c r="AD22" s="122"/>
    </row>
    <row r="23">
      <c r="A23" s="130" t="s">
        <v>207</v>
      </c>
      <c r="B23" s="131" t="s">
        <v>189</v>
      </c>
      <c r="C23" s="132"/>
      <c r="D23" s="132"/>
      <c r="E23" s="132"/>
      <c r="F23" s="132"/>
      <c r="G23" s="132"/>
      <c r="H23" s="132"/>
      <c r="I23" s="132"/>
      <c r="J23" s="132"/>
      <c r="K23" s="132"/>
      <c r="L23" s="132"/>
      <c r="M23" s="131" t="s">
        <v>72</v>
      </c>
      <c r="N23" s="132"/>
      <c r="O23" s="132"/>
      <c r="P23" s="134"/>
      <c r="Q23" s="130">
        <v>235.0</v>
      </c>
      <c r="R23" s="132"/>
      <c r="S23" s="132"/>
      <c r="T23" s="132"/>
      <c r="U23" s="130">
        <v>235.0</v>
      </c>
      <c r="V23" s="134"/>
      <c r="W23" s="132"/>
      <c r="X23" s="132"/>
      <c r="Y23" s="132"/>
      <c r="Z23" s="134"/>
      <c r="AA23" s="120">
        <f t="shared" si="1"/>
        <v>0</v>
      </c>
      <c r="AB23" s="122"/>
      <c r="AC23" s="122"/>
      <c r="AD23" s="122"/>
    </row>
    <row r="24">
      <c r="A24" s="130" t="s">
        <v>210</v>
      </c>
      <c r="B24" s="131" t="s">
        <v>189</v>
      </c>
      <c r="C24" s="132"/>
      <c r="D24" s="132"/>
      <c r="E24" s="132"/>
      <c r="F24" s="132"/>
      <c r="G24" s="132"/>
      <c r="H24" s="132"/>
      <c r="I24" s="132"/>
      <c r="J24" s="132"/>
      <c r="K24" s="132"/>
      <c r="L24" s="132"/>
      <c r="M24" s="131" t="s">
        <v>72</v>
      </c>
      <c r="N24" s="132"/>
      <c r="O24" s="132"/>
      <c r="P24" s="132"/>
      <c r="Q24" s="130">
        <v>305.0</v>
      </c>
      <c r="R24" s="132"/>
      <c r="S24" s="132"/>
      <c r="T24" s="132"/>
      <c r="U24" s="130">
        <v>305.0</v>
      </c>
      <c r="V24" s="134"/>
      <c r="W24" s="132"/>
      <c r="X24" s="132"/>
      <c r="Y24" s="132"/>
      <c r="Z24" s="134"/>
      <c r="AA24" s="120">
        <f t="shared" si="1"/>
        <v>0</v>
      </c>
      <c r="AB24" s="122"/>
      <c r="AC24" s="122"/>
      <c r="AD24" s="122"/>
    </row>
    <row r="25">
      <c r="A25" s="130" t="s">
        <v>215</v>
      </c>
      <c r="B25" s="131" t="s">
        <v>216</v>
      </c>
      <c r="C25" s="132"/>
      <c r="D25" s="132"/>
      <c r="E25" s="132"/>
      <c r="F25" s="132"/>
      <c r="G25" s="132"/>
      <c r="H25" s="132"/>
      <c r="I25" s="132"/>
      <c r="J25" s="132"/>
      <c r="K25" s="132"/>
      <c r="L25" s="132"/>
      <c r="M25" s="131" t="s">
        <v>72</v>
      </c>
      <c r="N25" s="132"/>
      <c r="O25" s="132"/>
      <c r="P25" s="132"/>
      <c r="Q25" s="130">
        <v>980.0</v>
      </c>
      <c r="R25" s="132"/>
      <c r="S25" s="132"/>
      <c r="T25" s="132"/>
      <c r="U25" s="130">
        <v>980.0</v>
      </c>
      <c r="V25" s="134"/>
      <c r="W25" s="132"/>
      <c r="X25" s="132"/>
      <c r="Y25" s="132"/>
      <c r="Z25" s="134"/>
      <c r="AA25" s="120">
        <f t="shared" si="1"/>
        <v>0</v>
      </c>
      <c r="AB25" s="122"/>
      <c r="AC25" s="122"/>
      <c r="AD25" s="122"/>
    </row>
    <row r="26">
      <c r="A26" s="130" t="s">
        <v>217</v>
      </c>
      <c r="B26" s="131" t="s">
        <v>77</v>
      </c>
      <c r="C26" s="132"/>
      <c r="D26" s="132"/>
      <c r="E26" s="132"/>
      <c r="F26" s="132"/>
      <c r="G26" s="132"/>
      <c r="H26" s="132"/>
      <c r="I26" s="132"/>
      <c r="J26" s="132"/>
      <c r="K26" s="132"/>
      <c r="L26" s="132"/>
      <c r="M26" s="131" t="s">
        <v>72</v>
      </c>
      <c r="N26" s="132"/>
      <c r="O26" s="132"/>
      <c r="P26" s="132"/>
      <c r="Q26" s="130">
        <v>2450.0</v>
      </c>
      <c r="R26" s="132"/>
      <c r="S26" s="132"/>
      <c r="T26" s="132"/>
      <c r="U26" s="130">
        <v>2450.0</v>
      </c>
      <c r="V26" s="134"/>
      <c r="W26" s="132"/>
      <c r="X26" s="132"/>
      <c r="Y26" s="132"/>
      <c r="Z26" s="134"/>
      <c r="AA26" s="120">
        <f t="shared" si="1"/>
        <v>0</v>
      </c>
      <c r="AB26" s="122"/>
      <c r="AC26" s="122"/>
      <c r="AD26" s="122"/>
    </row>
    <row r="27">
      <c r="A27" s="137">
        <v>44261.0</v>
      </c>
      <c r="B27" s="131" t="s">
        <v>162</v>
      </c>
      <c r="C27" s="132"/>
      <c r="D27" s="132"/>
      <c r="E27" s="132"/>
      <c r="F27" s="132"/>
      <c r="G27" s="132"/>
      <c r="H27" s="132"/>
      <c r="I27" s="132"/>
      <c r="J27" s="132"/>
      <c r="K27" s="132"/>
      <c r="L27" s="132"/>
      <c r="M27" s="131" t="s">
        <v>72</v>
      </c>
      <c r="N27" s="134"/>
      <c r="O27" s="132"/>
      <c r="P27" s="132"/>
      <c r="Q27" s="130">
        <v>500.0</v>
      </c>
      <c r="R27" s="132"/>
      <c r="S27" s="132"/>
      <c r="T27" s="132"/>
      <c r="U27" s="130">
        <v>500.0</v>
      </c>
      <c r="V27" s="134"/>
      <c r="W27" s="132"/>
      <c r="X27" s="132"/>
      <c r="Y27" s="132"/>
      <c r="Z27" s="134"/>
      <c r="AA27" s="120">
        <f t="shared" si="1"/>
        <v>0</v>
      </c>
      <c r="AB27" s="121"/>
      <c r="AC27" s="122"/>
      <c r="AD27" s="122"/>
    </row>
    <row r="28">
      <c r="A28" s="130" t="s">
        <v>218</v>
      </c>
      <c r="B28" s="131" t="s">
        <v>219</v>
      </c>
      <c r="C28" s="132"/>
      <c r="D28" s="132"/>
      <c r="E28" s="132"/>
      <c r="F28" s="132"/>
      <c r="G28" s="132"/>
      <c r="H28" s="132"/>
      <c r="I28" s="132"/>
      <c r="J28" s="132"/>
      <c r="K28" s="132"/>
      <c r="L28" s="132"/>
      <c r="M28" s="131" t="s">
        <v>72</v>
      </c>
      <c r="N28" s="134"/>
      <c r="O28" s="132"/>
      <c r="P28" s="130">
        <v>5970.0</v>
      </c>
      <c r="R28" s="132"/>
      <c r="S28" s="132"/>
      <c r="T28" s="132"/>
      <c r="U28" s="130">
        <v>5970.0</v>
      </c>
      <c r="V28" s="134"/>
      <c r="W28" s="132"/>
      <c r="X28" s="132"/>
      <c r="Y28" s="132"/>
      <c r="Z28" s="134"/>
      <c r="AA28" s="120">
        <f t="shared" si="1"/>
        <v>0</v>
      </c>
      <c r="AB28" s="121"/>
      <c r="AC28" s="111"/>
      <c r="AD28" s="111"/>
    </row>
    <row r="29">
      <c r="A29" s="137">
        <v>44233.0</v>
      </c>
      <c r="B29" s="131" t="s">
        <v>220</v>
      </c>
      <c r="C29" s="132"/>
      <c r="D29" s="132"/>
      <c r="E29" s="132"/>
      <c r="F29" s="132"/>
      <c r="G29" s="132"/>
      <c r="H29" s="132"/>
      <c r="I29" s="132"/>
      <c r="J29" s="132"/>
      <c r="K29" s="132"/>
      <c r="L29" s="132"/>
      <c r="M29" s="131" t="s">
        <v>81</v>
      </c>
      <c r="N29" s="134"/>
      <c r="O29" s="132"/>
      <c r="P29" s="132"/>
      <c r="Q29" s="130">
        <v>1650.0</v>
      </c>
      <c r="R29" s="132"/>
      <c r="S29" s="132"/>
      <c r="T29" s="132"/>
      <c r="U29" s="130">
        <v>1650.0</v>
      </c>
      <c r="V29" s="134"/>
      <c r="W29" s="132"/>
      <c r="X29" s="132"/>
      <c r="Y29" s="132"/>
      <c r="Z29" s="134"/>
      <c r="AA29" s="120">
        <f t="shared" si="1"/>
        <v>0</v>
      </c>
      <c r="AB29" s="122"/>
      <c r="AC29" s="122"/>
      <c r="AD29" s="122"/>
    </row>
    <row r="30">
      <c r="A30" s="137">
        <v>44292.0</v>
      </c>
      <c r="B30" s="131" t="s">
        <v>221</v>
      </c>
      <c r="C30" s="132"/>
      <c r="D30" s="132"/>
      <c r="E30" s="132"/>
      <c r="F30" s="132"/>
      <c r="G30" s="132"/>
      <c r="H30" s="132"/>
      <c r="I30" s="132"/>
      <c r="J30" s="132"/>
      <c r="K30" s="132"/>
      <c r="L30" s="132"/>
      <c r="M30" s="131" t="s">
        <v>72</v>
      </c>
      <c r="N30" s="130">
        <v>1135.0</v>
      </c>
      <c r="O30" s="132"/>
      <c r="P30" s="132"/>
      <c r="R30" s="132"/>
      <c r="S30" s="132"/>
      <c r="T30" s="132"/>
      <c r="U30" s="130">
        <v>1135.0</v>
      </c>
      <c r="V30" s="134"/>
      <c r="W30" s="132"/>
      <c r="X30" s="132"/>
      <c r="Y30" s="132"/>
      <c r="Z30" s="134"/>
      <c r="AA30" s="120">
        <f t="shared" si="1"/>
        <v>0</v>
      </c>
      <c r="AB30" s="122"/>
      <c r="AC30" s="122"/>
      <c r="AD30" s="122"/>
    </row>
    <row r="31">
      <c r="A31" s="155">
        <v>44475.0</v>
      </c>
      <c r="B31" s="131" t="s">
        <v>88</v>
      </c>
      <c r="C31" s="132"/>
      <c r="D31" s="132"/>
      <c r="E31" s="132"/>
      <c r="F31" s="132"/>
      <c r="G31" s="132"/>
      <c r="H31" s="132"/>
      <c r="I31" s="132"/>
      <c r="J31" s="134"/>
      <c r="K31" s="134"/>
      <c r="L31" s="132"/>
      <c r="M31" s="131" t="s">
        <v>72</v>
      </c>
      <c r="N31" s="132"/>
      <c r="O31" s="132"/>
      <c r="P31" s="132"/>
      <c r="Q31" s="130">
        <v>1236.0</v>
      </c>
      <c r="R31" s="132"/>
      <c r="S31" s="132"/>
      <c r="T31" s="132"/>
      <c r="U31" s="130">
        <v>1236.0</v>
      </c>
      <c r="V31" s="134"/>
      <c r="W31" s="132"/>
      <c r="X31" s="132"/>
      <c r="Y31" s="132"/>
      <c r="Z31" s="134"/>
      <c r="AA31" s="120">
        <f t="shared" si="1"/>
        <v>0</v>
      </c>
      <c r="AB31" s="122"/>
      <c r="AC31" s="122"/>
      <c r="AD31" s="122"/>
    </row>
    <row r="32">
      <c r="A32" s="130" t="s">
        <v>222</v>
      </c>
      <c r="B32" s="131" t="s">
        <v>223</v>
      </c>
      <c r="C32" s="132"/>
      <c r="D32" s="132"/>
      <c r="E32" s="132"/>
      <c r="F32" s="132"/>
      <c r="G32" s="132"/>
      <c r="H32" s="132"/>
      <c r="I32" s="132"/>
      <c r="J32" s="134"/>
      <c r="K32" s="134"/>
      <c r="L32" s="132"/>
      <c r="M32" s="131" t="s">
        <v>72</v>
      </c>
      <c r="N32" s="132"/>
      <c r="O32" s="132"/>
      <c r="P32" s="130">
        <v>1845.0</v>
      </c>
      <c r="R32" s="132"/>
      <c r="S32" s="132"/>
      <c r="T32" s="132"/>
      <c r="U32" s="130">
        <v>1845.0</v>
      </c>
      <c r="V32" s="134"/>
      <c r="W32" s="132"/>
      <c r="X32" s="132"/>
      <c r="Y32" s="132"/>
      <c r="Z32" s="134"/>
      <c r="AA32" s="120">
        <f t="shared" si="1"/>
        <v>0</v>
      </c>
      <c r="AB32" s="122"/>
      <c r="AC32" s="122"/>
      <c r="AD32" s="122"/>
    </row>
    <row r="33">
      <c r="A33" s="155">
        <v>44475.0</v>
      </c>
      <c r="B33" s="131" t="s">
        <v>224</v>
      </c>
      <c r="C33" s="132"/>
      <c r="D33" s="132"/>
      <c r="E33" s="132"/>
      <c r="F33" s="132"/>
      <c r="G33" s="132"/>
      <c r="H33" s="132"/>
      <c r="I33" s="132"/>
      <c r="J33" s="134"/>
      <c r="K33" s="134"/>
      <c r="L33" s="132"/>
      <c r="M33" s="131" t="s">
        <v>79</v>
      </c>
      <c r="N33" s="132"/>
      <c r="O33" s="132"/>
      <c r="P33" s="130">
        <v>2490.0</v>
      </c>
      <c r="R33" s="132"/>
      <c r="S33" s="132"/>
      <c r="T33" s="132"/>
      <c r="U33" s="130">
        <v>2490.0</v>
      </c>
      <c r="V33" s="134"/>
      <c r="W33" s="132"/>
      <c r="X33" s="132"/>
      <c r="Y33" s="132"/>
      <c r="Z33" s="134"/>
      <c r="AA33" s="120">
        <f t="shared" si="1"/>
        <v>0</v>
      </c>
      <c r="AB33" s="121"/>
      <c r="AC33" s="122"/>
      <c r="AD33" s="122"/>
    </row>
    <row r="34">
      <c r="A34" s="130" t="s">
        <v>210</v>
      </c>
      <c r="B34" s="131" t="s">
        <v>170</v>
      </c>
      <c r="C34" s="132"/>
      <c r="D34" s="132"/>
      <c r="E34" s="132"/>
      <c r="F34" s="132"/>
      <c r="G34" s="132"/>
      <c r="H34" s="132"/>
      <c r="I34" s="132"/>
      <c r="J34" s="134"/>
      <c r="K34" s="134"/>
      <c r="L34" s="132"/>
      <c r="M34" s="131" t="s">
        <v>72</v>
      </c>
      <c r="N34" s="130">
        <v>4136.0</v>
      </c>
      <c r="O34" s="132"/>
      <c r="P34" s="132"/>
      <c r="R34" s="132"/>
      <c r="S34" s="132"/>
      <c r="T34" s="132"/>
      <c r="U34" s="130">
        <v>4136.0</v>
      </c>
      <c r="V34" s="134"/>
      <c r="W34" s="132"/>
      <c r="X34" s="132"/>
      <c r="Y34" s="132"/>
      <c r="Z34" s="134"/>
      <c r="AA34" s="120">
        <f t="shared" si="1"/>
        <v>0</v>
      </c>
      <c r="AB34" s="121"/>
      <c r="AC34" s="111"/>
      <c r="AD34" s="111"/>
    </row>
    <row r="35">
      <c r="A35" s="130" t="s">
        <v>210</v>
      </c>
      <c r="B35" s="131" t="s">
        <v>225</v>
      </c>
      <c r="C35" s="132"/>
      <c r="D35" s="132"/>
      <c r="E35" s="132"/>
      <c r="F35" s="132"/>
      <c r="G35" s="132"/>
      <c r="H35" s="132"/>
      <c r="I35" s="132"/>
      <c r="J35" s="134"/>
      <c r="K35" s="132"/>
      <c r="L35" s="132"/>
      <c r="M35" s="131" t="s">
        <v>72</v>
      </c>
      <c r="N35" s="130">
        <v>7145.0</v>
      </c>
      <c r="O35" s="132"/>
      <c r="P35" s="132"/>
      <c r="R35" s="132"/>
      <c r="S35" s="132"/>
      <c r="T35" s="132"/>
      <c r="U35" s="130">
        <v>7145.0</v>
      </c>
      <c r="V35" s="134"/>
      <c r="W35" s="132"/>
      <c r="X35" s="132"/>
      <c r="Y35" s="132"/>
      <c r="Z35" s="134"/>
      <c r="AA35" s="120">
        <f t="shared" si="1"/>
        <v>0</v>
      </c>
      <c r="AB35" s="111"/>
      <c r="AC35" s="111"/>
      <c r="AD35" s="111"/>
    </row>
    <row r="36">
      <c r="A36" s="156">
        <v>44375.0</v>
      </c>
      <c r="B36" s="146" t="s">
        <v>93</v>
      </c>
      <c r="C36" s="148"/>
      <c r="D36" s="148"/>
      <c r="E36" s="148"/>
      <c r="F36" s="148"/>
      <c r="G36" s="148"/>
      <c r="H36" s="148"/>
      <c r="I36" s="148"/>
      <c r="J36" s="146">
        <v>-160.0</v>
      </c>
      <c r="K36" s="146">
        <v>160.0</v>
      </c>
      <c r="L36" s="148"/>
      <c r="M36" s="148"/>
      <c r="N36" s="148"/>
      <c r="O36" s="148"/>
      <c r="P36" s="148"/>
      <c r="Q36" s="148"/>
      <c r="R36" s="148"/>
      <c r="S36" s="148"/>
      <c r="T36" s="148"/>
      <c r="U36" s="148"/>
      <c r="V36" s="147"/>
      <c r="W36" s="148"/>
      <c r="X36" s="148"/>
      <c r="Y36" s="147"/>
      <c r="Z36" s="147"/>
      <c r="AA36" s="120">
        <f t="shared" si="1"/>
        <v>0</v>
      </c>
      <c r="AB36" s="122"/>
      <c r="AC36" s="122"/>
      <c r="AD36" s="122"/>
    </row>
    <row r="37">
      <c r="A37" s="156">
        <v>44368.0</v>
      </c>
      <c r="B37" s="146" t="s">
        <v>93</v>
      </c>
      <c r="C37" s="148"/>
      <c r="D37" s="148"/>
      <c r="E37" s="148"/>
      <c r="F37" s="148"/>
      <c r="G37" s="148"/>
      <c r="H37" s="148"/>
      <c r="I37" s="148"/>
      <c r="J37" s="146">
        <v>-160.0</v>
      </c>
      <c r="K37" s="146">
        <v>160.0</v>
      </c>
      <c r="L37" s="148"/>
      <c r="M37" s="147"/>
      <c r="N37" s="148"/>
      <c r="O37" s="148"/>
      <c r="P37" s="148"/>
      <c r="Q37" s="147"/>
      <c r="R37" s="148"/>
      <c r="S37" s="148"/>
      <c r="T37" s="148"/>
      <c r="U37" s="147"/>
      <c r="V37" s="147"/>
      <c r="W37" s="148"/>
      <c r="X37" s="148"/>
      <c r="Y37" s="148"/>
      <c r="Z37" s="147"/>
      <c r="AA37" s="120">
        <f t="shared" si="1"/>
        <v>0</v>
      </c>
      <c r="AB37" s="123"/>
      <c r="AC37" s="122"/>
      <c r="AD37" s="122"/>
    </row>
    <row r="38">
      <c r="A38" s="152">
        <v>44362.0</v>
      </c>
      <c r="B38" s="146" t="s">
        <v>93</v>
      </c>
      <c r="C38" s="148"/>
      <c r="D38" s="148"/>
      <c r="E38" s="148"/>
      <c r="F38" s="148"/>
      <c r="G38" s="148"/>
      <c r="H38" s="148"/>
      <c r="I38" s="148"/>
      <c r="J38" s="146">
        <v>-160.0</v>
      </c>
      <c r="K38" s="146">
        <v>160.0</v>
      </c>
      <c r="L38" s="148"/>
      <c r="M38" s="147"/>
      <c r="N38" s="147"/>
      <c r="O38" s="148"/>
      <c r="P38" s="148"/>
      <c r="Q38" s="148"/>
      <c r="R38" s="148"/>
      <c r="S38" s="148"/>
      <c r="T38" s="147"/>
      <c r="U38" s="148"/>
      <c r="V38" s="147"/>
      <c r="W38" s="148"/>
      <c r="X38" s="148"/>
      <c r="Y38" s="148"/>
      <c r="Z38" s="147"/>
      <c r="AA38" s="120">
        <f t="shared" si="1"/>
        <v>0</v>
      </c>
      <c r="AB38" s="122"/>
      <c r="AC38" s="122"/>
      <c r="AD38" s="122"/>
    </row>
    <row r="39">
      <c r="A39" s="152">
        <v>44354.0</v>
      </c>
      <c r="B39" s="146" t="s">
        <v>93</v>
      </c>
      <c r="C39" s="148"/>
      <c r="D39" s="148"/>
      <c r="E39" s="148"/>
      <c r="F39" s="148"/>
      <c r="G39" s="148"/>
      <c r="H39" s="148"/>
      <c r="I39" s="148"/>
      <c r="J39" s="146">
        <v>-160.0</v>
      </c>
      <c r="K39" s="146">
        <v>160.0</v>
      </c>
      <c r="L39" s="148"/>
      <c r="M39" s="147"/>
      <c r="N39" s="147"/>
      <c r="O39" s="148"/>
      <c r="P39" s="148"/>
      <c r="Q39" s="148"/>
      <c r="R39" s="148"/>
      <c r="S39" s="148"/>
      <c r="T39" s="147"/>
      <c r="U39" s="148"/>
      <c r="V39" s="147"/>
      <c r="W39" s="148"/>
      <c r="X39" s="148"/>
      <c r="Y39" s="148"/>
      <c r="Z39" s="147"/>
      <c r="AA39" s="120">
        <f t="shared" si="1"/>
        <v>0</v>
      </c>
      <c r="AB39" s="121"/>
      <c r="AC39" s="122"/>
      <c r="AD39" s="122"/>
    </row>
    <row r="40">
      <c r="A40" s="152">
        <v>44377.0</v>
      </c>
      <c r="B40" s="146" t="s">
        <v>94</v>
      </c>
      <c r="C40" s="148"/>
      <c r="D40" s="148"/>
      <c r="E40" s="148"/>
      <c r="F40" s="148"/>
      <c r="G40" s="148"/>
      <c r="H40" s="148"/>
      <c r="I40" s="148"/>
      <c r="J40" s="146">
        <v>179.36</v>
      </c>
      <c r="K40" s="148"/>
      <c r="L40" s="148"/>
      <c r="M40" s="147"/>
      <c r="N40" s="148"/>
      <c r="O40" s="148"/>
      <c r="P40" s="148"/>
      <c r="Q40" s="148"/>
      <c r="R40" s="148"/>
      <c r="S40" s="148"/>
      <c r="T40" s="147"/>
      <c r="U40" s="148"/>
      <c r="V40" s="147"/>
      <c r="W40" s="148"/>
      <c r="X40" s="148"/>
      <c r="Y40" s="148"/>
      <c r="Z40" s="146">
        <v>179.36</v>
      </c>
      <c r="AA40" s="120">
        <f t="shared" si="1"/>
        <v>0</v>
      </c>
      <c r="AB40" s="121"/>
      <c r="AC40" s="122"/>
      <c r="AD40" s="122"/>
    </row>
    <row r="41">
      <c r="A41" s="156">
        <v>44359.0</v>
      </c>
      <c r="B41" s="146" t="s">
        <v>95</v>
      </c>
      <c r="C41" s="148"/>
      <c r="D41" s="147"/>
      <c r="E41" s="148"/>
      <c r="F41" s="148"/>
      <c r="G41" s="148"/>
      <c r="H41" s="148"/>
      <c r="I41" s="148"/>
      <c r="J41" s="148"/>
      <c r="K41" s="148"/>
      <c r="L41" s="148"/>
      <c r="M41" s="146" t="s">
        <v>72</v>
      </c>
      <c r="N41" s="146">
        <v>1291.84</v>
      </c>
      <c r="O41" s="148"/>
      <c r="P41" s="148"/>
      <c r="Q41" s="148"/>
      <c r="R41" s="148"/>
      <c r="S41" s="148"/>
      <c r="T41" s="146">
        <v>1291.84</v>
      </c>
      <c r="U41" s="148"/>
      <c r="V41" s="147"/>
      <c r="W41" s="148"/>
      <c r="X41" s="148"/>
      <c r="Y41" s="148"/>
      <c r="Z41" s="147"/>
      <c r="AA41" s="120">
        <f t="shared" si="1"/>
        <v>0</v>
      </c>
      <c r="AB41" s="122"/>
      <c r="AC41" s="122"/>
      <c r="AD41" s="122"/>
    </row>
    <row r="42">
      <c r="A42" s="156">
        <v>44357.0</v>
      </c>
      <c r="B42" s="146" t="s">
        <v>226</v>
      </c>
      <c r="C42" s="148"/>
      <c r="D42" s="147"/>
      <c r="E42" s="148"/>
      <c r="F42" s="148"/>
      <c r="G42" s="148"/>
      <c r="H42" s="148"/>
      <c r="I42" s="148"/>
      <c r="J42" s="146">
        <v>-12261.76</v>
      </c>
      <c r="K42" s="148"/>
      <c r="L42" s="148"/>
      <c r="M42" s="147"/>
      <c r="N42" s="147"/>
      <c r="O42" s="148"/>
      <c r="P42" s="148"/>
      <c r="Q42" s="148"/>
      <c r="R42" s="148"/>
      <c r="S42" s="148"/>
      <c r="T42" s="146">
        <v>-12261.76</v>
      </c>
      <c r="U42" s="148"/>
      <c r="V42" s="147"/>
      <c r="W42" s="148"/>
      <c r="X42" s="148"/>
      <c r="Y42" s="148"/>
      <c r="Z42" s="147"/>
      <c r="AA42" s="120">
        <f t="shared" si="1"/>
        <v>0</v>
      </c>
      <c r="AB42" s="121"/>
      <c r="AC42" s="111"/>
      <c r="AD42" s="111"/>
    </row>
    <row r="43">
      <c r="A43" s="156">
        <v>44365.0</v>
      </c>
      <c r="B43" s="146" t="s">
        <v>227</v>
      </c>
      <c r="C43" s="146">
        <v>-32000.0</v>
      </c>
      <c r="D43" s="147"/>
      <c r="E43" s="148"/>
      <c r="F43" s="148"/>
      <c r="G43" s="148"/>
      <c r="H43" s="148"/>
      <c r="I43" s="148"/>
      <c r="J43" s="146">
        <v>32000.0</v>
      </c>
      <c r="K43" s="148"/>
      <c r="L43" s="148"/>
      <c r="M43" s="146" t="s">
        <v>81</v>
      </c>
      <c r="N43" s="147"/>
      <c r="O43" s="148"/>
      <c r="P43" s="148"/>
      <c r="Q43" s="146"/>
      <c r="R43" s="148"/>
      <c r="S43" s="148"/>
      <c r="T43" s="148"/>
      <c r="U43" s="148"/>
      <c r="V43" s="147"/>
      <c r="W43" s="148"/>
      <c r="X43" s="148"/>
      <c r="Y43" s="148"/>
      <c r="Z43" s="146"/>
      <c r="AA43" s="120">
        <f t="shared" si="1"/>
        <v>0</v>
      </c>
      <c r="AB43" s="121"/>
      <c r="AC43" s="111"/>
      <c r="AD43" s="111"/>
    </row>
    <row r="44">
      <c r="A44" s="156">
        <v>44360.0</v>
      </c>
      <c r="B44" s="146" t="s">
        <v>228</v>
      </c>
      <c r="C44" s="148"/>
      <c r="D44" s="147"/>
      <c r="E44" s="148"/>
      <c r="F44" s="148"/>
      <c r="G44" s="148"/>
      <c r="H44" s="148"/>
      <c r="I44" s="148"/>
      <c r="J44" s="146">
        <v>-665.6</v>
      </c>
      <c r="K44" s="148"/>
      <c r="L44" s="148"/>
      <c r="M44" s="146" t="s">
        <v>79</v>
      </c>
      <c r="N44" s="147"/>
      <c r="O44" s="148"/>
      <c r="P44" s="146">
        <v>665.6</v>
      </c>
      <c r="R44" s="148"/>
      <c r="S44" s="148"/>
      <c r="T44" s="148"/>
      <c r="U44" s="148"/>
      <c r="V44" s="147"/>
      <c r="W44" s="148"/>
      <c r="X44" s="148"/>
      <c r="Y44" s="148"/>
      <c r="Z44" s="147"/>
      <c r="AA44" s="120">
        <f t="shared" si="1"/>
        <v>0</v>
      </c>
      <c r="AB44" s="121"/>
      <c r="AC44" s="122"/>
      <c r="AD44" s="122"/>
    </row>
    <row r="45">
      <c r="A45" s="156">
        <v>44360.0</v>
      </c>
      <c r="B45" s="146" t="s">
        <v>229</v>
      </c>
      <c r="C45" s="148"/>
      <c r="D45" s="147"/>
      <c r="E45" s="148"/>
      <c r="F45" s="148"/>
      <c r="G45" s="148"/>
      <c r="H45" s="148"/>
      <c r="I45" s="148"/>
      <c r="J45" s="146">
        <v>-6944.0</v>
      </c>
      <c r="K45" s="148"/>
      <c r="L45" s="148"/>
      <c r="M45" s="146" t="s">
        <v>79</v>
      </c>
      <c r="N45" s="147"/>
      <c r="O45" s="148"/>
      <c r="P45" s="146">
        <v>6944.0</v>
      </c>
      <c r="R45" s="148"/>
      <c r="S45" s="148"/>
      <c r="T45" s="148"/>
      <c r="U45" s="148"/>
      <c r="V45" s="147"/>
      <c r="W45" s="148"/>
      <c r="X45" s="148"/>
      <c r="Y45" s="148"/>
      <c r="Z45" s="147"/>
      <c r="AA45" s="120">
        <f t="shared" si="1"/>
        <v>0</v>
      </c>
      <c r="AB45" s="111"/>
      <c r="AC45" s="111"/>
      <c r="AD45" s="111"/>
    </row>
    <row r="46">
      <c r="A46" s="156">
        <v>44358.0</v>
      </c>
      <c r="B46" s="146" t="s">
        <v>174</v>
      </c>
      <c r="C46" s="148"/>
      <c r="D46" s="147"/>
      <c r="E46" s="148"/>
      <c r="F46" s="148"/>
      <c r="G46" s="148"/>
      <c r="H46" s="148"/>
      <c r="I46" s="148"/>
      <c r="J46" s="148"/>
      <c r="K46" s="148"/>
      <c r="L46" s="148"/>
      <c r="M46" s="146" t="s">
        <v>72</v>
      </c>
      <c r="N46" s="148"/>
      <c r="O46" s="148"/>
      <c r="P46" s="148"/>
      <c r="Q46" s="146">
        <v>2778.72</v>
      </c>
      <c r="R46" s="148"/>
      <c r="S46" s="148"/>
      <c r="T46" s="146">
        <v>2778.72</v>
      </c>
      <c r="U46" s="148"/>
      <c r="V46" s="147"/>
      <c r="W46" s="148"/>
      <c r="X46" s="148"/>
      <c r="Y46" s="148"/>
      <c r="Z46" s="147"/>
      <c r="AA46" s="120">
        <f t="shared" si="1"/>
        <v>0</v>
      </c>
      <c r="AB46" s="121"/>
      <c r="AC46" s="122"/>
      <c r="AD46" s="122"/>
    </row>
    <row r="47">
      <c r="A47" s="156">
        <v>44357.0</v>
      </c>
      <c r="B47" s="146" t="s">
        <v>174</v>
      </c>
      <c r="C47" s="148"/>
      <c r="D47" s="147"/>
      <c r="E47" s="148"/>
      <c r="F47" s="148"/>
      <c r="G47" s="148"/>
      <c r="H47" s="148"/>
      <c r="I47" s="148"/>
      <c r="J47" s="148"/>
      <c r="K47" s="148"/>
      <c r="L47" s="148"/>
      <c r="M47" s="146" t="s">
        <v>72</v>
      </c>
      <c r="N47" s="148"/>
      <c r="O47" s="148"/>
      <c r="P47" s="148"/>
      <c r="Q47" s="146">
        <v>1556.8</v>
      </c>
      <c r="R47" s="148"/>
      <c r="S47" s="148"/>
      <c r="T47" s="146">
        <v>1556.8</v>
      </c>
      <c r="U47" s="148"/>
      <c r="V47" s="147"/>
      <c r="W47" s="148"/>
      <c r="X47" s="148"/>
      <c r="Y47" s="148"/>
      <c r="Z47" s="147"/>
      <c r="AA47" s="120">
        <f t="shared" si="1"/>
        <v>0</v>
      </c>
      <c r="AB47" s="122"/>
      <c r="AC47" s="122"/>
      <c r="AD47" s="122"/>
    </row>
    <row r="48">
      <c r="A48" s="146">
        <v>2.0</v>
      </c>
      <c r="B48" s="146" t="s">
        <v>200</v>
      </c>
      <c r="C48" s="148"/>
      <c r="D48" s="146">
        <v>-3024.0</v>
      </c>
      <c r="E48" s="148"/>
      <c r="F48" s="148"/>
      <c r="G48" s="148"/>
      <c r="H48" s="148"/>
      <c r="I48" s="148"/>
      <c r="J48" s="148"/>
      <c r="K48" s="148"/>
      <c r="L48" s="148"/>
      <c r="M48" s="146" t="s">
        <v>72</v>
      </c>
      <c r="N48" s="146">
        <v>3024.0</v>
      </c>
      <c r="O48" s="147"/>
      <c r="P48" s="148"/>
      <c r="Q48" s="148"/>
      <c r="R48" s="148"/>
      <c r="S48" s="148"/>
      <c r="T48" s="148"/>
      <c r="U48" s="148"/>
      <c r="V48" s="147"/>
      <c r="W48" s="148"/>
      <c r="X48" s="148"/>
      <c r="Y48" s="148"/>
      <c r="Z48" s="147"/>
      <c r="AA48" s="120">
        <f t="shared" si="1"/>
        <v>0</v>
      </c>
      <c r="AB48" s="121"/>
      <c r="AC48" s="122"/>
      <c r="AD48" s="122"/>
    </row>
    <row r="49">
      <c r="A49" s="146">
        <v>2.0</v>
      </c>
      <c r="B49" s="146" t="s">
        <v>98</v>
      </c>
      <c r="C49" s="148"/>
      <c r="D49" s="146">
        <v>-110.0</v>
      </c>
      <c r="E49" s="148"/>
      <c r="F49" s="148"/>
      <c r="G49" s="148"/>
      <c r="H49" s="148"/>
      <c r="I49" s="148"/>
      <c r="J49" s="148"/>
      <c r="K49" s="148"/>
      <c r="L49" s="148"/>
      <c r="M49" s="146" t="s">
        <v>72</v>
      </c>
      <c r="N49" s="146">
        <v>110.0</v>
      </c>
      <c r="O49" s="147"/>
      <c r="P49" s="148"/>
      <c r="Q49" s="148"/>
      <c r="R49" s="148"/>
      <c r="S49" s="148"/>
      <c r="T49" s="148"/>
      <c r="U49" s="148"/>
      <c r="V49" s="147"/>
      <c r="W49" s="148"/>
      <c r="X49" s="148"/>
      <c r="Y49" s="148"/>
      <c r="Z49" s="147"/>
      <c r="AA49" s="120">
        <f t="shared" si="1"/>
        <v>0</v>
      </c>
      <c r="AB49" s="111"/>
      <c r="AC49" s="111"/>
      <c r="AD49" s="111"/>
    </row>
    <row r="50">
      <c r="A50" s="146">
        <v>5.0</v>
      </c>
      <c r="B50" s="146" t="s">
        <v>200</v>
      </c>
      <c r="C50" s="147"/>
      <c r="D50" s="146">
        <v>-7363.0</v>
      </c>
      <c r="E50" s="148"/>
      <c r="F50" s="148"/>
      <c r="G50" s="148"/>
      <c r="H50" s="148"/>
      <c r="I50" s="148"/>
      <c r="J50" s="148"/>
      <c r="K50" s="148"/>
      <c r="L50" s="148"/>
      <c r="M50" s="146" t="s">
        <v>72</v>
      </c>
      <c r="N50" s="146">
        <v>7363.0</v>
      </c>
      <c r="O50" s="148"/>
      <c r="P50" s="148"/>
      <c r="Q50" s="147"/>
      <c r="R50" s="148"/>
      <c r="S50" s="148"/>
      <c r="T50" s="148"/>
      <c r="U50" s="148"/>
      <c r="V50" s="147"/>
      <c r="W50" s="148"/>
      <c r="X50" s="148"/>
      <c r="Y50" s="148"/>
      <c r="Z50" s="147"/>
      <c r="AA50" s="120">
        <f t="shared" si="1"/>
        <v>0</v>
      </c>
      <c r="AB50" s="121"/>
      <c r="AC50" s="122"/>
      <c r="AD50" s="122"/>
    </row>
    <row r="51">
      <c r="A51" s="146">
        <v>5.0</v>
      </c>
      <c r="B51" s="146" t="s">
        <v>98</v>
      </c>
      <c r="C51" s="147"/>
      <c r="D51" s="146">
        <v>-232.0</v>
      </c>
      <c r="E51" s="148"/>
      <c r="F51" s="148"/>
      <c r="G51" s="148"/>
      <c r="H51" s="148"/>
      <c r="I51" s="148"/>
      <c r="J51" s="148"/>
      <c r="K51" s="148"/>
      <c r="L51" s="148"/>
      <c r="M51" s="146" t="s">
        <v>72</v>
      </c>
      <c r="N51" s="146">
        <v>232.0</v>
      </c>
      <c r="O51" s="148"/>
      <c r="P51" s="148"/>
      <c r="Q51" s="147"/>
      <c r="R51" s="148"/>
      <c r="S51" s="148"/>
      <c r="T51" s="148"/>
      <c r="U51" s="148"/>
      <c r="V51" s="147"/>
      <c r="W51" s="148"/>
      <c r="X51" s="148"/>
      <c r="Y51" s="148"/>
      <c r="Z51" s="147"/>
      <c r="AA51" s="120">
        <f t="shared" si="1"/>
        <v>0</v>
      </c>
      <c r="AB51" s="121"/>
      <c r="AC51" s="111"/>
      <c r="AD51" s="111"/>
    </row>
    <row r="52">
      <c r="A52" s="146">
        <v>8.0</v>
      </c>
      <c r="B52" s="146" t="s">
        <v>98</v>
      </c>
      <c r="C52" s="147"/>
      <c r="D52" s="146">
        <v>-480.0</v>
      </c>
      <c r="E52" s="148"/>
      <c r="F52" s="148"/>
      <c r="G52" s="148"/>
      <c r="H52" s="148"/>
      <c r="I52" s="148"/>
      <c r="J52" s="148"/>
      <c r="K52" s="148"/>
      <c r="L52" s="148"/>
      <c r="M52" s="146" t="s">
        <v>72</v>
      </c>
      <c r="N52" s="146">
        <v>480.0</v>
      </c>
      <c r="O52" s="148"/>
      <c r="P52" s="148"/>
      <c r="Q52" s="148"/>
      <c r="R52" s="148"/>
      <c r="S52" s="148"/>
      <c r="T52" s="148"/>
      <c r="U52" s="148"/>
      <c r="V52" s="147"/>
      <c r="W52" s="148"/>
      <c r="X52" s="147"/>
      <c r="Y52" s="148"/>
      <c r="Z52" s="147"/>
      <c r="AA52" s="120">
        <f t="shared" si="1"/>
        <v>0</v>
      </c>
      <c r="AB52" s="121"/>
      <c r="AC52" s="111"/>
      <c r="AD52" s="111"/>
    </row>
    <row r="53">
      <c r="A53" s="146">
        <v>11.0</v>
      </c>
      <c r="B53" s="146" t="s">
        <v>200</v>
      </c>
      <c r="C53" s="147"/>
      <c r="D53" s="146">
        <v>-8208.0</v>
      </c>
      <c r="E53" s="148"/>
      <c r="F53" s="148"/>
      <c r="G53" s="148"/>
      <c r="H53" s="148"/>
      <c r="I53" s="148"/>
      <c r="J53" s="148"/>
      <c r="K53" s="148"/>
      <c r="L53" s="148"/>
      <c r="M53" s="146" t="s">
        <v>72</v>
      </c>
      <c r="N53" s="146">
        <v>8208.0</v>
      </c>
      <c r="O53" s="148"/>
      <c r="P53" s="148"/>
      <c r="Q53" s="148"/>
      <c r="R53" s="148"/>
      <c r="S53" s="148"/>
      <c r="T53" s="148"/>
      <c r="U53" s="148"/>
      <c r="V53" s="147"/>
      <c r="W53" s="148"/>
      <c r="X53" s="148"/>
      <c r="Y53" s="148"/>
      <c r="Z53" s="147"/>
      <c r="AA53" s="120">
        <f t="shared" si="1"/>
        <v>0</v>
      </c>
      <c r="AB53" s="111"/>
      <c r="AC53" s="111"/>
      <c r="AD53" s="111"/>
    </row>
    <row r="54">
      <c r="A54" s="146">
        <v>12.0</v>
      </c>
      <c r="B54" s="146" t="s">
        <v>200</v>
      </c>
      <c r="C54" s="147"/>
      <c r="D54" s="146">
        <v>-439.0</v>
      </c>
      <c r="E54" s="148"/>
      <c r="F54" s="148"/>
      <c r="G54" s="148"/>
      <c r="H54" s="148"/>
      <c r="I54" s="148"/>
      <c r="J54" s="148"/>
      <c r="K54" s="148"/>
      <c r="L54" s="148"/>
      <c r="M54" s="146" t="s">
        <v>72</v>
      </c>
      <c r="N54" s="146">
        <v>439.0</v>
      </c>
      <c r="O54" s="148"/>
      <c r="P54" s="148"/>
      <c r="Q54" s="148"/>
      <c r="R54" s="148"/>
      <c r="S54" s="148"/>
      <c r="T54" s="148"/>
      <c r="U54" s="147"/>
      <c r="V54" s="147"/>
      <c r="W54" s="148"/>
      <c r="X54" s="148"/>
      <c r="Y54" s="148"/>
      <c r="Z54" s="147"/>
      <c r="AA54" s="120">
        <f t="shared" si="1"/>
        <v>0</v>
      </c>
      <c r="AB54" s="122"/>
      <c r="AC54" s="122"/>
      <c r="AD54" s="122"/>
    </row>
    <row r="55">
      <c r="A55" s="146">
        <v>14.0</v>
      </c>
      <c r="B55" s="146" t="s">
        <v>200</v>
      </c>
      <c r="C55" s="147"/>
      <c r="D55" s="146">
        <v>-4054.0</v>
      </c>
      <c r="E55" s="148"/>
      <c r="F55" s="148"/>
      <c r="G55" s="148"/>
      <c r="H55" s="148"/>
      <c r="I55" s="148"/>
      <c r="J55" s="148"/>
      <c r="K55" s="148"/>
      <c r="L55" s="148"/>
      <c r="M55" s="146" t="s">
        <v>72</v>
      </c>
      <c r="N55" s="146">
        <v>4054.0</v>
      </c>
      <c r="O55" s="148"/>
      <c r="P55" s="148"/>
      <c r="Q55" s="148"/>
      <c r="R55" s="148"/>
      <c r="S55" s="148"/>
      <c r="T55" s="148"/>
      <c r="U55" s="147"/>
      <c r="V55" s="147"/>
      <c r="W55" s="148"/>
      <c r="X55" s="148"/>
      <c r="Y55" s="148"/>
      <c r="Z55" s="147"/>
      <c r="AA55" s="120">
        <f t="shared" si="1"/>
        <v>0</v>
      </c>
      <c r="AB55" s="121"/>
      <c r="AC55" s="122"/>
      <c r="AD55" s="122"/>
    </row>
    <row r="56">
      <c r="A56" s="146">
        <v>22.0</v>
      </c>
      <c r="B56" s="146" t="s">
        <v>175</v>
      </c>
      <c r="C56" s="148"/>
      <c r="D56" s="146">
        <v>-8838.0</v>
      </c>
      <c r="E56" s="147"/>
      <c r="F56" s="147"/>
      <c r="G56" s="148"/>
      <c r="H56" s="148"/>
      <c r="I56" s="148"/>
      <c r="J56" s="148"/>
      <c r="K56" s="148"/>
      <c r="L56" s="148"/>
      <c r="M56" s="146" t="s">
        <v>72</v>
      </c>
      <c r="N56" s="146">
        <v>8838.0</v>
      </c>
      <c r="O56" s="148"/>
      <c r="P56" s="148"/>
      <c r="Q56" s="148"/>
      <c r="R56" s="148"/>
      <c r="S56" s="148"/>
      <c r="T56" s="148"/>
      <c r="U56" s="148"/>
      <c r="V56" s="147"/>
      <c r="W56" s="148"/>
      <c r="X56" s="148"/>
      <c r="Y56" s="148"/>
      <c r="Z56" s="147"/>
      <c r="AA56" s="120">
        <f t="shared" si="1"/>
        <v>0</v>
      </c>
      <c r="AB56" s="122"/>
      <c r="AC56" s="122"/>
      <c r="AD56" s="122"/>
    </row>
    <row r="57">
      <c r="A57" s="146">
        <v>16.0</v>
      </c>
      <c r="B57" s="146" t="s">
        <v>200</v>
      </c>
      <c r="C57" s="148"/>
      <c r="D57" s="146">
        <v>-1130.0</v>
      </c>
      <c r="E57" s="147"/>
      <c r="F57" s="147"/>
      <c r="G57" s="148"/>
      <c r="H57" s="148"/>
      <c r="I57" s="148"/>
      <c r="J57" s="148"/>
      <c r="K57" s="148"/>
      <c r="L57" s="148"/>
      <c r="M57" s="146" t="s">
        <v>72</v>
      </c>
      <c r="N57" s="146">
        <v>1130.0</v>
      </c>
      <c r="O57" s="148"/>
      <c r="P57" s="148"/>
      <c r="Q57" s="148"/>
      <c r="R57" s="148"/>
      <c r="S57" s="148"/>
      <c r="T57" s="148"/>
      <c r="U57" s="148"/>
      <c r="V57" s="147"/>
      <c r="W57" s="148"/>
      <c r="X57" s="148"/>
      <c r="Y57" s="148"/>
      <c r="Z57" s="147"/>
      <c r="AA57" s="120">
        <f t="shared" si="1"/>
        <v>0</v>
      </c>
      <c r="AB57" s="122"/>
      <c r="AC57" s="122"/>
      <c r="AD57" s="122"/>
    </row>
    <row r="58">
      <c r="A58" s="146">
        <v>18.0</v>
      </c>
      <c r="B58" s="146" t="s">
        <v>200</v>
      </c>
      <c r="C58" s="148"/>
      <c r="D58" s="146">
        <v>-8250.0</v>
      </c>
      <c r="E58" s="148"/>
      <c r="F58" s="148"/>
      <c r="G58" s="148"/>
      <c r="H58" s="148"/>
      <c r="I58" s="148"/>
      <c r="J58" s="148"/>
      <c r="K58" s="148"/>
      <c r="L58" s="148"/>
      <c r="M58" s="146" t="s">
        <v>72</v>
      </c>
      <c r="N58" s="146">
        <v>8250.0</v>
      </c>
      <c r="O58" s="148"/>
      <c r="P58" s="148"/>
      <c r="Q58" s="148"/>
      <c r="R58" s="148"/>
      <c r="S58" s="148"/>
      <c r="T58" s="148"/>
      <c r="U58" s="148"/>
      <c r="V58" s="147"/>
      <c r="W58" s="148"/>
      <c r="X58" s="148"/>
      <c r="Y58" s="148"/>
      <c r="Z58" s="147"/>
      <c r="AA58" s="120">
        <f t="shared" si="1"/>
        <v>0</v>
      </c>
      <c r="AB58" s="122"/>
      <c r="AC58" s="122"/>
      <c r="AD58" s="122"/>
    </row>
    <row r="59">
      <c r="A59" s="146">
        <v>5.0</v>
      </c>
      <c r="B59" s="146" t="s">
        <v>103</v>
      </c>
      <c r="C59" s="146">
        <v>-30000.0</v>
      </c>
      <c r="D59" s="146">
        <v>30000.0</v>
      </c>
      <c r="E59" s="148"/>
      <c r="F59" s="148"/>
      <c r="G59" s="148"/>
      <c r="H59" s="148"/>
      <c r="I59" s="148"/>
      <c r="J59" s="148"/>
      <c r="K59" s="148"/>
      <c r="L59" s="148"/>
      <c r="M59" s="146" t="s">
        <v>81</v>
      </c>
      <c r="N59" s="148"/>
      <c r="O59" s="148"/>
      <c r="P59" s="148"/>
      <c r="Q59" s="146"/>
      <c r="R59" s="148"/>
      <c r="S59" s="148"/>
      <c r="T59" s="148"/>
      <c r="U59" s="148"/>
      <c r="V59" s="147"/>
      <c r="W59" s="148"/>
      <c r="X59" s="148"/>
      <c r="Y59" s="148"/>
      <c r="Z59" s="147"/>
      <c r="AA59" s="120">
        <f t="shared" si="1"/>
        <v>0</v>
      </c>
      <c r="AB59" s="122"/>
      <c r="AC59" s="122"/>
      <c r="AD59" s="122"/>
    </row>
    <row r="60">
      <c r="A60" s="146">
        <v>28.0</v>
      </c>
      <c r="B60" s="146" t="s">
        <v>122</v>
      </c>
      <c r="C60" s="146">
        <f>-(16106+8407)</f>
        <v>-24513</v>
      </c>
      <c r="D60" s="148"/>
      <c r="E60" s="148"/>
      <c r="F60" s="148"/>
      <c r="G60" s="148"/>
      <c r="H60" s="148"/>
      <c r="I60" s="148"/>
      <c r="J60" s="148"/>
      <c r="K60" s="148"/>
      <c r="L60" s="148"/>
      <c r="M60" s="146" t="s">
        <v>81</v>
      </c>
      <c r="N60" s="148"/>
      <c r="O60" s="148"/>
      <c r="P60" s="148"/>
      <c r="Q60" s="146"/>
      <c r="R60" s="148"/>
      <c r="S60" s="148"/>
      <c r="T60" s="148"/>
      <c r="U60" s="146">
        <v>-24513.0</v>
      </c>
      <c r="V60" s="147"/>
      <c r="W60" s="148"/>
      <c r="X60" s="148"/>
      <c r="Y60" s="148"/>
      <c r="Z60" s="147"/>
      <c r="AA60" s="120">
        <f t="shared" si="1"/>
        <v>0</v>
      </c>
      <c r="AB60" s="111"/>
      <c r="AC60" s="111"/>
      <c r="AD60" s="111"/>
    </row>
    <row r="61">
      <c r="A61" s="146">
        <v>30.0</v>
      </c>
      <c r="B61" s="146" t="s">
        <v>176</v>
      </c>
      <c r="C61" s="146">
        <v>-2316.0</v>
      </c>
      <c r="D61" s="148"/>
      <c r="E61" s="148"/>
      <c r="F61" s="148"/>
      <c r="G61" s="148"/>
      <c r="H61" s="147"/>
      <c r="I61" s="148"/>
      <c r="J61" s="148"/>
      <c r="K61" s="148"/>
      <c r="L61" s="148"/>
      <c r="M61" s="146" t="s">
        <v>81</v>
      </c>
      <c r="N61" s="147"/>
      <c r="O61" s="148"/>
      <c r="P61" s="148"/>
      <c r="Q61" s="146">
        <v>2316.0</v>
      </c>
      <c r="R61" s="148"/>
      <c r="S61" s="148"/>
      <c r="T61" s="148"/>
      <c r="U61" s="148"/>
      <c r="V61" s="147"/>
      <c r="W61" s="148"/>
      <c r="X61" s="146"/>
      <c r="Y61" s="148"/>
      <c r="Z61" s="147"/>
      <c r="AA61" s="120">
        <f t="shared" si="1"/>
        <v>0</v>
      </c>
      <c r="AB61" s="122"/>
      <c r="AC61" s="122"/>
      <c r="AD61" s="122"/>
    </row>
    <row r="62">
      <c r="A62" s="146"/>
      <c r="B62" s="146" t="s">
        <v>230</v>
      </c>
      <c r="C62" s="146"/>
      <c r="D62" s="146"/>
      <c r="E62" s="148"/>
      <c r="F62" s="148"/>
      <c r="G62" s="148"/>
      <c r="H62" s="148">
        <f>-1650*3</f>
        <v>-4950</v>
      </c>
      <c r="I62" s="148"/>
      <c r="J62" s="148"/>
      <c r="K62" s="148"/>
      <c r="L62" s="147"/>
      <c r="M62" s="146" t="s">
        <v>81</v>
      </c>
      <c r="N62" s="148"/>
      <c r="O62" s="148"/>
      <c r="P62" s="148"/>
      <c r="Q62" s="146">
        <v>4950.0</v>
      </c>
      <c r="R62" s="148"/>
      <c r="S62" s="148"/>
      <c r="T62" s="148"/>
      <c r="U62" s="148"/>
      <c r="V62" s="147"/>
      <c r="W62" s="148"/>
      <c r="X62" s="148"/>
      <c r="Y62" s="148"/>
      <c r="Z62" s="147"/>
      <c r="AA62" s="120">
        <f t="shared" si="1"/>
        <v>0</v>
      </c>
      <c r="AB62" s="122"/>
      <c r="AC62" s="122"/>
      <c r="AD62" s="122"/>
    </row>
    <row r="63">
      <c r="A63" s="146"/>
      <c r="B63" s="146"/>
      <c r="C63" s="146"/>
      <c r="D63" s="148"/>
      <c r="E63" s="148"/>
      <c r="F63" s="148"/>
      <c r="G63" s="148"/>
      <c r="H63" s="148"/>
      <c r="I63" s="148"/>
      <c r="J63" s="148"/>
      <c r="K63" s="148"/>
      <c r="L63" s="148"/>
      <c r="M63" s="147"/>
      <c r="N63" s="147"/>
      <c r="O63" s="148"/>
      <c r="P63" s="148"/>
      <c r="Q63" s="148"/>
      <c r="R63" s="148"/>
      <c r="S63" s="148"/>
      <c r="T63" s="148"/>
      <c r="U63" s="146"/>
      <c r="V63" s="147"/>
      <c r="W63" s="148"/>
      <c r="X63" s="148"/>
      <c r="Y63" s="148"/>
      <c r="Z63" s="147"/>
      <c r="AA63" s="120">
        <f t="shared" si="1"/>
        <v>0</v>
      </c>
      <c r="AB63" s="122"/>
      <c r="AC63" s="122"/>
      <c r="AD63" s="122"/>
    </row>
    <row r="64">
      <c r="A64" s="146"/>
      <c r="B64" s="146"/>
      <c r="C64" s="146"/>
      <c r="D64" s="148"/>
      <c r="E64" s="148"/>
      <c r="F64" s="148"/>
      <c r="G64" s="148"/>
      <c r="H64" s="148"/>
      <c r="I64" s="148"/>
      <c r="J64" s="148"/>
      <c r="K64" s="148"/>
      <c r="L64" s="148"/>
      <c r="M64" s="147"/>
      <c r="N64" s="147"/>
      <c r="O64" s="148"/>
      <c r="P64" s="148"/>
      <c r="Q64" s="148"/>
      <c r="R64" s="148"/>
      <c r="S64" s="148"/>
      <c r="T64" s="148"/>
      <c r="U64" s="146"/>
      <c r="V64" s="147"/>
      <c r="W64" s="148"/>
      <c r="X64" s="148"/>
      <c r="Y64" s="148"/>
      <c r="Z64" s="147"/>
      <c r="AA64" s="120">
        <f t="shared" si="1"/>
        <v>0</v>
      </c>
      <c r="AB64" s="122"/>
      <c r="AC64" s="122"/>
      <c r="AD64" s="122"/>
    </row>
    <row r="65">
      <c r="B65" s="125" t="s">
        <v>104</v>
      </c>
      <c r="C65" s="143"/>
      <c r="D65" s="143"/>
      <c r="E65" s="122"/>
      <c r="F65" s="122"/>
      <c r="G65" s="122"/>
      <c r="H65" s="122"/>
      <c r="I65" s="122">
        <f>9000*16</f>
        <v>144000</v>
      </c>
      <c r="J65" s="122"/>
      <c r="K65" s="122"/>
      <c r="L65" s="122"/>
      <c r="M65" s="124"/>
      <c r="N65" s="122"/>
      <c r="O65" s="122"/>
      <c r="P65" s="122"/>
      <c r="Q65" s="122"/>
      <c r="R65" s="122"/>
      <c r="S65" s="122"/>
      <c r="T65" s="122"/>
      <c r="U65" s="122"/>
      <c r="V65" s="124"/>
      <c r="W65" s="122"/>
      <c r="X65" s="122"/>
      <c r="Y65" s="122"/>
      <c r="Z65" s="124">
        <v>144000.0</v>
      </c>
      <c r="AA65" s="120">
        <f t="shared" si="1"/>
        <v>0</v>
      </c>
      <c r="AB65" s="122"/>
      <c r="AC65" s="122"/>
      <c r="AD65" s="122"/>
    </row>
    <row r="66">
      <c r="A66" s="153"/>
      <c r="B66" s="125"/>
      <c r="C66" s="143"/>
      <c r="D66" s="143"/>
      <c r="E66" s="122"/>
      <c r="F66" s="122"/>
      <c r="G66" s="122"/>
      <c r="H66" s="122"/>
      <c r="I66" s="122"/>
      <c r="J66" s="122"/>
      <c r="K66" s="122"/>
      <c r="L66" s="122"/>
      <c r="M66" s="124"/>
      <c r="N66" s="122"/>
      <c r="O66" s="122"/>
      <c r="P66" s="122"/>
      <c r="Q66" s="122"/>
      <c r="R66" s="122"/>
      <c r="S66" s="122"/>
      <c r="T66" s="122"/>
      <c r="U66" s="122"/>
      <c r="V66" s="124"/>
      <c r="W66" s="122"/>
      <c r="X66" s="122"/>
      <c r="Y66" s="122"/>
      <c r="Z66" s="124"/>
      <c r="AA66" s="120">
        <f t="shared" si="1"/>
        <v>0</v>
      </c>
      <c r="AB66" s="122"/>
      <c r="AC66" s="122"/>
      <c r="AD66" s="122"/>
    </row>
    <row r="67">
      <c r="A67" s="153"/>
      <c r="B67" s="125"/>
      <c r="C67" s="143"/>
      <c r="D67" s="143"/>
      <c r="E67" s="122"/>
      <c r="F67" s="122"/>
      <c r="G67" s="122"/>
      <c r="H67" s="122"/>
      <c r="I67" s="122"/>
      <c r="J67" s="122"/>
      <c r="K67" s="122"/>
      <c r="L67" s="122"/>
      <c r="M67" s="124"/>
      <c r="N67" s="122"/>
      <c r="O67" s="122"/>
      <c r="P67" s="122"/>
      <c r="Q67" s="122"/>
      <c r="R67" s="122"/>
      <c r="S67" s="122"/>
      <c r="T67" s="122"/>
      <c r="U67" s="122"/>
      <c r="V67" s="124"/>
      <c r="W67" s="122"/>
      <c r="X67" s="122"/>
      <c r="Y67" s="122"/>
      <c r="Z67" s="124"/>
      <c r="AA67" s="120">
        <f t="shared" si="1"/>
        <v>0</v>
      </c>
      <c r="AB67" s="122"/>
      <c r="AC67" s="122"/>
      <c r="AD67" s="122"/>
    </row>
    <row r="68">
      <c r="A68" s="153"/>
      <c r="B68" s="125"/>
      <c r="C68" s="143"/>
      <c r="D68" s="143"/>
      <c r="E68" s="122"/>
      <c r="F68" s="122"/>
      <c r="G68" s="122"/>
      <c r="H68" s="122"/>
      <c r="I68" s="122"/>
      <c r="J68" s="122"/>
      <c r="K68" s="122"/>
      <c r="L68" s="122"/>
      <c r="M68" s="124"/>
      <c r="N68" s="122"/>
      <c r="O68" s="122"/>
      <c r="P68" s="122"/>
      <c r="Q68" s="122"/>
      <c r="R68" s="122"/>
      <c r="S68" s="122"/>
      <c r="T68" s="122"/>
      <c r="U68" s="122"/>
      <c r="V68" s="124"/>
      <c r="W68" s="122"/>
      <c r="X68" s="122"/>
      <c r="Y68" s="122"/>
      <c r="Z68" s="124"/>
      <c r="AA68" s="120">
        <f t="shared" si="1"/>
        <v>0</v>
      </c>
      <c r="AB68" s="122"/>
      <c r="AC68" s="122"/>
      <c r="AD68" s="122"/>
    </row>
    <row r="69">
      <c r="A69" s="153"/>
      <c r="B69" s="125"/>
      <c r="C69" s="143"/>
      <c r="D69" s="143"/>
      <c r="E69" s="122"/>
      <c r="F69" s="122"/>
      <c r="G69" s="122"/>
      <c r="H69" s="122"/>
      <c r="I69" s="122"/>
      <c r="J69" s="122"/>
      <c r="K69" s="122"/>
      <c r="L69" s="122"/>
      <c r="M69" s="124"/>
      <c r="N69" s="122"/>
      <c r="O69" s="122"/>
      <c r="P69" s="122"/>
      <c r="Q69" s="122"/>
      <c r="R69" s="122"/>
      <c r="S69" s="122"/>
      <c r="T69" s="122"/>
      <c r="U69" s="122"/>
      <c r="V69" s="124"/>
      <c r="W69" s="122"/>
      <c r="X69" s="122"/>
      <c r="Y69" s="122"/>
      <c r="Z69" s="124"/>
      <c r="AA69" s="120">
        <f t="shared" si="1"/>
        <v>0</v>
      </c>
      <c r="AB69" s="122"/>
      <c r="AC69" s="122"/>
      <c r="AD69" s="122"/>
    </row>
    <row r="70">
      <c r="A70" s="153"/>
      <c r="B70" s="125"/>
      <c r="C70" s="143"/>
      <c r="D70" s="143"/>
      <c r="E70" s="122"/>
      <c r="F70" s="122"/>
      <c r="G70" s="122"/>
      <c r="H70" s="122"/>
      <c r="I70" s="122"/>
      <c r="J70" s="122"/>
      <c r="K70" s="122"/>
      <c r="L70" s="122"/>
      <c r="M70" s="124"/>
      <c r="N70" s="122"/>
      <c r="O70" s="122"/>
      <c r="P70" s="122"/>
      <c r="Q70" s="122"/>
      <c r="R70" s="122"/>
      <c r="S70" s="122"/>
      <c r="T70" s="122"/>
      <c r="U70" s="122"/>
      <c r="V70" s="124"/>
      <c r="W70" s="122"/>
      <c r="X70" s="122"/>
      <c r="Y70" s="122"/>
      <c r="Z70" s="124"/>
      <c r="AA70" s="120">
        <f t="shared" si="1"/>
        <v>0</v>
      </c>
      <c r="AB70" s="122"/>
      <c r="AC70" s="122"/>
      <c r="AD70" s="122"/>
    </row>
    <row r="71">
      <c r="A71" s="153"/>
      <c r="B71" s="125"/>
      <c r="C71" s="143"/>
      <c r="D71" s="143"/>
      <c r="E71" s="122"/>
      <c r="F71" s="122"/>
      <c r="G71" s="122"/>
      <c r="H71" s="122"/>
      <c r="I71" s="122"/>
      <c r="J71" s="122"/>
      <c r="K71" s="122"/>
      <c r="L71" s="122"/>
      <c r="M71" s="124"/>
      <c r="N71" s="122"/>
      <c r="O71" s="122"/>
      <c r="P71" s="122"/>
      <c r="Q71" s="122"/>
      <c r="R71" s="122"/>
      <c r="S71" s="122"/>
      <c r="T71" s="122"/>
      <c r="U71" s="122"/>
      <c r="V71" s="124"/>
      <c r="W71" s="122"/>
      <c r="X71" s="122"/>
      <c r="Y71" s="122"/>
      <c r="Z71" s="124"/>
      <c r="AA71" s="120">
        <f t="shared" si="1"/>
        <v>0</v>
      </c>
      <c r="AB71" s="122"/>
      <c r="AC71" s="122"/>
      <c r="AD71" s="122"/>
    </row>
    <row r="72">
      <c r="A72" s="153"/>
      <c r="B72" s="125"/>
      <c r="C72" s="143"/>
      <c r="D72" s="143"/>
      <c r="E72" s="122"/>
      <c r="F72" s="122"/>
      <c r="G72" s="122"/>
      <c r="H72" s="122"/>
      <c r="I72" s="122"/>
      <c r="J72" s="122"/>
      <c r="K72" s="122"/>
      <c r="L72" s="122"/>
      <c r="M72" s="124"/>
      <c r="N72" s="122"/>
      <c r="O72" s="122"/>
      <c r="P72" s="122"/>
      <c r="Q72" s="122"/>
      <c r="R72" s="122"/>
      <c r="S72" s="122"/>
      <c r="T72" s="122"/>
      <c r="U72" s="122"/>
      <c r="V72" s="124"/>
      <c r="W72" s="122"/>
      <c r="X72" s="122"/>
      <c r="Y72" s="122"/>
      <c r="Z72" s="124"/>
      <c r="AA72" s="120">
        <f t="shared" si="1"/>
        <v>0</v>
      </c>
      <c r="AB72" s="122"/>
      <c r="AC72" s="122"/>
      <c r="AD72" s="122"/>
    </row>
    <row r="73">
      <c r="A73" s="153"/>
      <c r="B73" s="125"/>
      <c r="C73" s="143"/>
      <c r="D73" s="143"/>
      <c r="E73" s="122"/>
      <c r="F73" s="122"/>
      <c r="G73" s="122"/>
      <c r="H73" s="122"/>
      <c r="I73" s="122"/>
      <c r="J73" s="122"/>
      <c r="K73" s="122"/>
      <c r="L73" s="122"/>
      <c r="M73" s="124"/>
      <c r="N73" s="122"/>
      <c r="O73" s="122"/>
      <c r="P73" s="122"/>
      <c r="Q73" s="122"/>
      <c r="R73" s="122"/>
      <c r="S73" s="122"/>
      <c r="T73" s="122"/>
      <c r="U73" s="122"/>
      <c r="V73" s="124"/>
      <c r="W73" s="122"/>
      <c r="X73" s="122"/>
      <c r="Y73" s="122"/>
      <c r="Z73" s="124"/>
      <c r="AA73" s="120">
        <f t="shared" si="1"/>
        <v>0</v>
      </c>
      <c r="AB73" s="122"/>
      <c r="AC73" s="122"/>
      <c r="AD73" s="122"/>
    </row>
    <row r="74">
      <c r="A74" s="153"/>
      <c r="B74" s="125"/>
      <c r="C74" s="143"/>
      <c r="D74" s="143"/>
      <c r="E74" s="122"/>
      <c r="F74" s="122"/>
      <c r="G74" s="122"/>
      <c r="H74" s="122"/>
      <c r="I74" s="122"/>
      <c r="J74" s="122"/>
      <c r="K74" s="122"/>
      <c r="L74" s="122"/>
      <c r="M74" s="124"/>
      <c r="N74" s="122"/>
      <c r="O74" s="122"/>
      <c r="P74" s="122"/>
      <c r="Q74" s="122"/>
      <c r="R74" s="122"/>
      <c r="S74" s="122"/>
      <c r="T74" s="122"/>
      <c r="U74" s="122"/>
      <c r="V74" s="124"/>
      <c r="W74" s="122"/>
      <c r="X74" s="122"/>
      <c r="Y74" s="122"/>
      <c r="Z74" s="124"/>
      <c r="AA74" s="120">
        <f t="shared" si="1"/>
        <v>0</v>
      </c>
      <c r="AB74" s="122"/>
      <c r="AC74" s="122"/>
      <c r="AD74" s="122"/>
    </row>
    <row r="75">
      <c r="A75" s="153"/>
      <c r="B75" s="125"/>
      <c r="C75" s="143"/>
      <c r="D75" s="143"/>
      <c r="E75" s="122"/>
      <c r="F75" s="122"/>
      <c r="G75" s="122"/>
      <c r="H75" s="122"/>
      <c r="I75" s="122"/>
      <c r="J75" s="122"/>
      <c r="K75" s="122"/>
      <c r="L75" s="122"/>
      <c r="M75" s="124"/>
      <c r="N75" s="122"/>
      <c r="O75" s="122"/>
      <c r="P75" s="122"/>
      <c r="Q75" s="122"/>
      <c r="R75" s="122"/>
      <c r="S75" s="122"/>
      <c r="T75" s="122"/>
      <c r="U75" s="122"/>
      <c r="V75" s="124"/>
      <c r="W75" s="122"/>
      <c r="X75" s="122"/>
      <c r="Y75" s="122"/>
      <c r="Z75" s="124"/>
      <c r="AA75" s="120">
        <f t="shared" si="1"/>
        <v>0</v>
      </c>
      <c r="AB75" s="122"/>
      <c r="AC75" s="122"/>
      <c r="AD75" s="122"/>
    </row>
    <row r="76">
      <c r="A76" s="153"/>
      <c r="B76" s="125"/>
      <c r="C76" s="143"/>
      <c r="D76" s="143"/>
      <c r="E76" s="122"/>
      <c r="F76" s="122"/>
      <c r="G76" s="122"/>
      <c r="H76" s="122"/>
      <c r="I76" s="122"/>
      <c r="J76" s="122"/>
      <c r="K76" s="122"/>
      <c r="L76" s="122"/>
      <c r="M76" s="124"/>
      <c r="N76" s="122"/>
      <c r="O76" s="122"/>
      <c r="P76" s="122"/>
      <c r="Q76" s="122"/>
      <c r="R76" s="122"/>
      <c r="S76" s="122"/>
      <c r="T76" s="122"/>
      <c r="U76" s="122"/>
      <c r="V76" s="124"/>
      <c r="W76" s="122"/>
      <c r="X76" s="122"/>
      <c r="Y76" s="122"/>
      <c r="Z76" s="124"/>
      <c r="AA76" s="120">
        <f t="shared" si="1"/>
        <v>0</v>
      </c>
      <c r="AB76" s="122"/>
      <c r="AC76" s="122"/>
      <c r="AD76" s="122"/>
    </row>
    <row r="77">
      <c r="A77" s="153"/>
      <c r="B77" s="125"/>
      <c r="C77" s="143"/>
      <c r="D77" s="143"/>
      <c r="E77" s="122"/>
      <c r="F77" s="122"/>
      <c r="G77" s="122"/>
      <c r="H77" s="122"/>
      <c r="I77" s="122"/>
      <c r="J77" s="122"/>
      <c r="K77" s="122"/>
      <c r="L77" s="122"/>
      <c r="M77" s="124"/>
      <c r="N77" s="122"/>
      <c r="O77" s="122"/>
      <c r="P77" s="122"/>
      <c r="Q77" s="122"/>
      <c r="R77" s="122"/>
      <c r="S77" s="122"/>
      <c r="T77" s="122"/>
      <c r="U77" s="122"/>
      <c r="V77" s="124"/>
      <c r="W77" s="122"/>
      <c r="X77" s="122"/>
      <c r="Y77" s="122"/>
      <c r="Z77" s="124"/>
      <c r="AA77" s="124"/>
      <c r="AB77" s="122"/>
      <c r="AC77" s="122"/>
      <c r="AD77" s="122"/>
    </row>
    <row r="78">
      <c r="A78" s="154"/>
      <c r="B78" s="126"/>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c r="AC78" s="122"/>
      <c r="AD78" s="122"/>
    </row>
    <row r="79">
      <c r="A79" s="154"/>
      <c r="B79" s="126"/>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row>
    <row r="80">
      <c r="A80" s="154"/>
      <c r="B80" s="126"/>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c r="AD80" s="122"/>
    </row>
    <row r="81">
      <c r="A81" s="154"/>
      <c r="B81" s="126"/>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2"/>
      <c r="AC81" s="122"/>
      <c r="AD81" s="122"/>
    </row>
    <row r="82">
      <c r="A82" s="154"/>
      <c r="B82" s="126"/>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c r="AC82" s="122"/>
      <c r="AD82" s="122"/>
    </row>
    <row r="83">
      <c r="A83" s="154"/>
      <c r="B83" s="126"/>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row>
    <row r="84">
      <c r="A84" s="154"/>
      <c r="B84" s="126"/>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row>
    <row r="85">
      <c r="A85" s="154"/>
      <c r="B85" s="126"/>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row>
    <row r="86">
      <c r="A86" s="154"/>
      <c r="B86" s="126"/>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row>
    <row r="87">
      <c r="A87" s="154"/>
      <c r="B87" s="126"/>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row>
    <row r="88">
      <c r="A88" s="154"/>
      <c r="B88" s="126"/>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row>
    <row r="89">
      <c r="A89" s="154"/>
      <c r="B89" s="126"/>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row>
    <row r="90">
      <c r="A90" s="154"/>
      <c r="B90" s="126"/>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row>
    <row r="91">
      <c r="A91" s="154"/>
      <c r="B91" s="126"/>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row>
    <row r="92">
      <c r="A92" s="154"/>
      <c r="B92" s="126"/>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row>
    <row r="93">
      <c r="A93" s="154"/>
      <c r="B93" s="126"/>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row>
    <row r="94">
      <c r="A94" s="154"/>
      <c r="B94" s="126"/>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row>
    <row r="95">
      <c r="A95" s="154"/>
      <c r="B95" s="126"/>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row>
    <row r="96">
      <c r="A96" s="154"/>
      <c r="B96" s="126"/>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row>
    <row r="97">
      <c r="A97" s="154"/>
      <c r="B97" s="126"/>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c r="AD97" s="122"/>
    </row>
    <row r="98">
      <c r="A98" s="154"/>
      <c r="B98" s="126"/>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row>
    <row r="99">
      <c r="A99" s="154"/>
      <c r="B99" s="126"/>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row>
    <row r="100">
      <c r="A100" s="154"/>
      <c r="B100" s="126"/>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row>
    <row r="101">
      <c r="A101" s="154"/>
      <c r="B101" s="126"/>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2"/>
    </row>
    <row r="102">
      <c r="A102" s="154"/>
      <c r="B102" s="126"/>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c r="AD102" s="122"/>
    </row>
    <row r="103">
      <c r="A103" s="154"/>
      <c r="B103" s="126"/>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row>
    <row r="104">
      <c r="A104" s="154"/>
      <c r="B104" s="126"/>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row>
    <row r="105">
      <c r="A105" s="154"/>
      <c r="B105" s="126"/>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row>
    <row r="106">
      <c r="A106" s="154"/>
      <c r="B106" s="126"/>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c r="AD106" s="122"/>
    </row>
    <row r="107">
      <c r="A107" s="154"/>
      <c r="B107" s="126"/>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2"/>
    </row>
    <row r="108">
      <c r="A108" s="154"/>
      <c r="B108" s="126"/>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row>
    <row r="109">
      <c r="A109" s="154"/>
      <c r="B109" s="126"/>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c r="AD109" s="122"/>
    </row>
    <row r="110">
      <c r="A110" s="154"/>
      <c r="B110" s="126"/>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row>
    <row r="111">
      <c r="A111" s="154"/>
      <c r="B111" s="126"/>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c r="AD111" s="122"/>
    </row>
    <row r="112">
      <c r="A112" s="154"/>
      <c r="B112" s="126"/>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c r="AD112" s="122"/>
    </row>
    <row r="113">
      <c r="A113" s="154"/>
      <c r="B113" s="126"/>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row>
    <row r="114">
      <c r="A114" s="154"/>
      <c r="B114" s="126"/>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row>
    <row r="115">
      <c r="A115" s="154"/>
      <c r="B115" s="126"/>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row>
    <row r="116">
      <c r="A116" s="154"/>
      <c r="B116" s="126"/>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c r="AD116" s="122"/>
    </row>
    <row r="117">
      <c r="A117" s="154"/>
      <c r="B117" s="126"/>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2"/>
    </row>
    <row r="118">
      <c r="A118" s="154"/>
      <c r="B118" s="126"/>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c r="AD118" s="122"/>
    </row>
    <row r="119">
      <c r="A119" s="154"/>
      <c r="B119" s="126"/>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c r="AD119" s="122"/>
    </row>
    <row r="120">
      <c r="A120" s="154"/>
      <c r="B120" s="126"/>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row>
    <row r="121">
      <c r="A121" s="154"/>
      <c r="B121" s="126"/>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c r="AD121" s="122"/>
    </row>
    <row r="122">
      <c r="A122" s="154"/>
      <c r="B122" s="126"/>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c r="AD122" s="122"/>
    </row>
    <row r="123">
      <c r="A123" s="154"/>
      <c r="B123" s="126"/>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c r="AD123" s="122"/>
    </row>
    <row r="124">
      <c r="A124" s="154"/>
      <c r="B124" s="126"/>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row>
    <row r="125">
      <c r="A125" s="154"/>
      <c r="B125" s="126"/>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row>
    <row r="126">
      <c r="A126" s="154"/>
      <c r="B126" s="126"/>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c r="AD126" s="122"/>
    </row>
    <row r="127">
      <c r="A127" s="154"/>
      <c r="B127" s="126"/>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c r="AD127" s="122"/>
    </row>
    <row r="128">
      <c r="A128" s="154"/>
      <c r="B128" s="126"/>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c r="AD128" s="122"/>
    </row>
    <row r="129">
      <c r="A129" s="154"/>
      <c r="B129" s="126"/>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row>
    <row r="130">
      <c r="A130" s="154"/>
      <c r="B130" s="126"/>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row>
    <row r="131">
      <c r="A131" s="154"/>
      <c r="B131" s="126"/>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row>
    <row r="132">
      <c r="A132" s="154"/>
      <c r="B132" s="126"/>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c r="AD132" s="122"/>
    </row>
    <row r="133">
      <c r="A133" s="154"/>
      <c r="B133" s="126"/>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c r="AD133" s="122"/>
    </row>
    <row r="134">
      <c r="A134" s="154"/>
      <c r="B134" s="126"/>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c r="AD134" s="122"/>
    </row>
    <row r="135">
      <c r="A135" s="154"/>
      <c r="B135" s="126"/>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c r="AD135" s="122"/>
    </row>
    <row r="136">
      <c r="A136" s="154"/>
      <c r="B136" s="126"/>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2"/>
    </row>
    <row r="137">
      <c r="A137" s="154"/>
      <c r="B137" s="126"/>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c r="AD137" s="122"/>
    </row>
    <row r="138">
      <c r="A138" s="154"/>
      <c r="B138" s="126"/>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2"/>
    </row>
    <row r="139">
      <c r="A139" s="154"/>
      <c r="B139" s="126"/>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row>
    <row r="140">
      <c r="A140" s="154"/>
      <c r="B140" s="126"/>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2"/>
    </row>
    <row r="141">
      <c r="A141" s="154"/>
      <c r="B141" s="126"/>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row>
    <row r="142">
      <c r="A142" s="154"/>
      <c r="B142" s="126"/>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2"/>
    </row>
    <row r="143">
      <c r="A143" s="154"/>
      <c r="B143" s="126"/>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2"/>
    </row>
    <row r="144">
      <c r="A144" s="154"/>
      <c r="B144" s="126"/>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2"/>
    </row>
    <row r="145">
      <c r="A145" s="154"/>
      <c r="B145" s="126"/>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2"/>
    </row>
    <row r="146">
      <c r="A146" s="154"/>
      <c r="B146" s="126"/>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row>
    <row r="147">
      <c r="A147" s="154"/>
      <c r="B147" s="126"/>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row>
    <row r="148">
      <c r="A148" s="154"/>
      <c r="B148" s="126"/>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2"/>
    </row>
    <row r="149">
      <c r="A149" s="154"/>
      <c r="B149" s="126"/>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2"/>
    </row>
    <row r="150">
      <c r="A150" s="154"/>
      <c r="B150" s="126"/>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row>
    <row r="151">
      <c r="A151" s="154"/>
      <c r="B151" s="126"/>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row>
    <row r="152">
      <c r="A152" s="154"/>
      <c r="B152" s="126"/>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row>
    <row r="153">
      <c r="A153" s="154"/>
      <c r="B153" s="126"/>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c r="AD153" s="122"/>
    </row>
    <row r="154">
      <c r="A154" s="154"/>
      <c r="B154" s="126"/>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2"/>
    </row>
    <row r="155">
      <c r="A155" s="154"/>
      <c r="B155" s="126"/>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c r="AD155" s="122"/>
    </row>
    <row r="156">
      <c r="A156" s="154"/>
      <c r="B156" s="126"/>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c r="AD156" s="122"/>
    </row>
    <row r="157">
      <c r="A157" s="154"/>
      <c r="B157" s="126"/>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c r="AD157" s="122"/>
    </row>
    <row r="158">
      <c r="A158" s="154"/>
      <c r="B158" s="126"/>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c r="AD158" s="122"/>
    </row>
    <row r="159">
      <c r="A159" s="154"/>
      <c r="B159" s="126"/>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c r="AD159" s="122"/>
    </row>
    <row r="160">
      <c r="A160" s="154"/>
      <c r="B160" s="126"/>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row>
    <row r="161">
      <c r="A161" s="154"/>
      <c r="B161" s="126"/>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row>
    <row r="162">
      <c r="A162" s="154"/>
      <c r="B162" s="126"/>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c r="AD162" s="122"/>
    </row>
    <row r="163">
      <c r="A163" s="154"/>
      <c r="B163" s="126"/>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c r="AD163" s="122"/>
    </row>
    <row r="164">
      <c r="A164" s="154"/>
      <c r="B164" s="126"/>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c r="AD164" s="122"/>
    </row>
    <row r="165">
      <c r="A165" s="154"/>
      <c r="B165" s="126"/>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c r="AD165" s="122"/>
    </row>
    <row r="166">
      <c r="A166" s="154"/>
      <c r="B166" s="126"/>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2"/>
    </row>
    <row r="167">
      <c r="A167" s="154"/>
      <c r="B167" s="126"/>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c r="AD167" s="122"/>
    </row>
    <row r="168">
      <c r="A168" s="154"/>
      <c r="B168" s="126"/>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c r="AD168" s="122"/>
    </row>
    <row r="169">
      <c r="A169" s="154"/>
      <c r="B169" s="126"/>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c r="AD169" s="122"/>
    </row>
    <row r="170">
      <c r="A170" s="154"/>
      <c r="B170" s="126"/>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c r="AD170" s="122"/>
    </row>
    <row r="171">
      <c r="A171" s="154"/>
      <c r="B171" s="126"/>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c r="AD171" s="122"/>
    </row>
    <row r="172">
      <c r="A172" s="154"/>
      <c r="B172" s="126"/>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c r="AD172" s="122"/>
    </row>
    <row r="173">
      <c r="A173" s="154"/>
      <c r="B173" s="126"/>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c r="AD173" s="122"/>
    </row>
    <row r="174">
      <c r="A174" s="154"/>
      <c r="B174" s="126"/>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c r="AD174" s="122"/>
    </row>
    <row r="175">
      <c r="A175" s="154"/>
      <c r="B175" s="126"/>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c r="AD175" s="122"/>
    </row>
    <row r="176">
      <c r="A176" s="154"/>
      <c r="B176" s="126"/>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c r="AD176" s="122"/>
    </row>
    <row r="177">
      <c r="A177" s="154"/>
      <c r="B177" s="126"/>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row>
    <row r="178">
      <c r="A178" s="154"/>
      <c r="B178" s="126"/>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c r="AD178" s="122"/>
    </row>
    <row r="179">
      <c r="A179" s="154"/>
      <c r="B179" s="126"/>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row>
    <row r="180">
      <c r="A180" s="154"/>
      <c r="B180" s="126"/>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row>
    <row r="181">
      <c r="A181" s="154"/>
      <c r="B181" s="126"/>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row>
    <row r="182">
      <c r="A182" s="154"/>
      <c r="B182" s="126"/>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row>
    <row r="183">
      <c r="A183" s="154"/>
      <c r="B183" s="126"/>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row>
    <row r="184">
      <c r="A184" s="154"/>
      <c r="B184" s="126"/>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row>
    <row r="185">
      <c r="A185" s="154"/>
      <c r="B185" s="126"/>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row>
    <row r="186">
      <c r="A186" s="154"/>
      <c r="B186" s="126"/>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row>
    <row r="187">
      <c r="A187" s="154"/>
      <c r="B187" s="126"/>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c r="AD187" s="122"/>
    </row>
    <row r="188">
      <c r="A188" s="154"/>
      <c r="B188" s="126"/>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c r="AD188" s="122"/>
    </row>
    <row r="189">
      <c r="A189" s="154"/>
      <c r="B189" s="126"/>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c r="AD189" s="122"/>
    </row>
    <row r="190">
      <c r="A190" s="154"/>
      <c r="B190" s="126"/>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c r="AD190" s="122"/>
    </row>
    <row r="191">
      <c r="A191" s="154"/>
      <c r="B191" s="126"/>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row>
    <row r="192">
      <c r="A192" s="154"/>
      <c r="B192" s="126"/>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c r="AD192" s="122"/>
    </row>
    <row r="193">
      <c r="A193" s="154"/>
      <c r="B193" s="126"/>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c r="AD193" s="122"/>
    </row>
    <row r="194">
      <c r="A194" s="154"/>
      <c r="B194" s="126"/>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c r="AD194" s="122"/>
    </row>
    <row r="195">
      <c r="A195" s="154"/>
      <c r="B195" s="126"/>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row>
    <row r="196">
      <c r="A196" s="154"/>
      <c r="B196" s="126"/>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row>
    <row r="197">
      <c r="A197" s="154"/>
      <c r="B197" s="126"/>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row>
    <row r="198">
      <c r="A198" s="154"/>
      <c r="B198" s="126"/>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c r="AD198" s="122"/>
    </row>
    <row r="199">
      <c r="A199" s="154"/>
      <c r="B199" s="126"/>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c r="AD199" s="122"/>
    </row>
    <row r="200">
      <c r="A200" s="154"/>
      <c r="B200" s="126"/>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c r="AD200" s="122"/>
    </row>
    <row r="201">
      <c r="A201" s="154"/>
      <c r="B201" s="126"/>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c r="AD201" s="122"/>
    </row>
    <row r="202">
      <c r="A202" s="154"/>
      <c r="B202" s="126"/>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c r="AD202" s="122"/>
    </row>
    <row r="203">
      <c r="A203" s="154"/>
      <c r="B203" s="126"/>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c r="AD203" s="122"/>
    </row>
    <row r="204">
      <c r="A204" s="154"/>
      <c r="B204" s="126"/>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row>
    <row r="205">
      <c r="A205" s="154"/>
      <c r="B205" s="126"/>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c r="AD205" s="122"/>
    </row>
    <row r="206">
      <c r="A206" s="154"/>
      <c r="B206" s="126"/>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c r="AD206" s="122"/>
    </row>
    <row r="207">
      <c r="A207" s="154"/>
      <c r="B207" s="126"/>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c r="AD207" s="122"/>
    </row>
    <row r="208">
      <c r="A208" s="154"/>
      <c r="B208" s="126"/>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c r="AD208" s="122"/>
    </row>
    <row r="209">
      <c r="A209" s="154"/>
      <c r="B209" s="126"/>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row>
    <row r="210">
      <c r="A210" s="154"/>
      <c r="B210" s="126"/>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row>
    <row r="211">
      <c r="A211" s="154"/>
      <c r="B211" s="126"/>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c r="AD211" s="122"/>
    </row>
    <row r="212">
      <c r="A212" s="154"/>
      <c r="B212" s="126"/>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row>
    <row r="213">
      <c r="A213" s="154"/>
      <c r="B213" s="126"/>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c r="AD213" s="122"/>
    </row>
    <row r="214">
      <c r="A214" s="154"/>
      <c r="B214" s="126"/>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row>
    <row r="215">
      <c r="A215" s="154"/>
      <c r="B215" s="126"/>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row>
    <row r="216">
      <c r="A216" s="154"/>
      <c r="B216" s="126"/>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row>
    <row r="217">
      <c r="A217" s="154"/>
      <c r="B217" s="126"/>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2"/>
    </row>
    <row r="218">
      <c r="A218" s="154"/>
      <c r="B218" s="126"/>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c r="AD218" s="122"/>
    </row>
    <row r="219">
      <c r="A219" s="154"/>
      <c r="B219" s="126"/>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c r="AD219" s="122"/>
    </row>
    <row r="220">
      <c r="A220" s="154"/>
      <c r="B220" s="126"/>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c r="AD220" s="122"/>
    </row>
    <row r="221">
      <c r="A221" s="154"/>
      <c r="B221" s="126"/>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c r="AD221" s="122"/>
    </row>
    <row r="222">
      <c r="A222" s="154"/>
      <c r="B222" s="126"/>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row>
    <row r="223">
      <c r="A223" s="154"/>
      <c r="B223" s="126"/>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c r="AD223" s="122"/>
    </row>
    <row r="224">
      <c r="A224" s="154"/>
      <c r="B224" s="126"/>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c r="AD224" s="122"/>
    </row>
    <row r="225">
      <c r="A225" s="154"/>
      <c r="B225" s="126"/>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c r="AD225" s="122"/>
    </row>
    <row r="226">
      <c r="A226" s="154"/>
      <c r="B226" s="126"/>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c r="AD226" s="122"/>
    </row>
    <row r="227">
      <c r="A227" s="154"/>
      <c r="B227" s="126"/>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2"/>
    </row>
    <row r="228">
      <c r="A228" s="154"/>
      <c r="B228" s="126"/>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row>
    <row r="229">
      <c r="A229" s="154"/>
      <c r="B229" s="126"/>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c r="AD229" s="122"/>
    </row>
    <row r="230">
      <c r="A230" s="154"/>
      <c r="B230" s="126"/>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c r="AD230" s="122"/>
    </row>
    <row r="231">
      <c r="A231" s="154"/>
      <c r="B231" s="126"/>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c r="AD231" s="122"/>
    </row>
    <row r="232">
      <c r="A232" s="154"/>
      <c r="B232" s="126"/>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c r="AD232" s="122"/>
    </row>
    <row r="233">
      <c r="A233" s="154"/>
      <c r="B233" s="126"/>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c r="AD233" s="122"/>
    </row>
    <row r="234">
      <c r="A234" s="154"/>
      <c r="B234" s="126"/>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c r="AD234" s="122"/>
    </row>
    <row r="235">
      <c r="A235" s="154"/>
      <c r="B235" s="126"/>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c r="AD235" s="122"/>
    </row>
    <row r="236">
      <c r="A236" s="154"/>
      <c r="B236" s="126"/>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c r="AD236" s="122"/>
    </row>
    <row r="237">
      <c r="A237" s="154"/>
      <c r="B237" s="126"/>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c r="AD237" s="122"/>
    </row>
    <row r="238">
      <c r="A238" s="154"/>
      <c r="B238" s="126"/>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c r="AD238" s="122"/>
    </row>
    <row r="239">
      <c r="A239" s="154"/>
      <c r="B239" s="126"/>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c r="AD239" s="122"/>
    </row>
    <row r="240">
      <c r="A240" s="154"/>
      <c r="B240" s="126"/>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c r="AD240" s="122"/>
    </row>
    <row r="241">
      <c r="A241" s="154"/>
      <c r="B241" s="126"/>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c r="AD241" s="122"/>
    </row>
    <row r="242">
      <c r="A242" s="154"/>
      <c r="B242" s="126"/>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c r="AD242" s="122"/>
    </row>
    <row r="243">
      <c r="A243" s="154"/>
      <c r="B243" s="126"/>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c r="AD243" s="122"/>
    </row>
    <row r="244">
      <c r="A244" s="154"/>
      <c r="B244" s="126"/>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c r="AD244" s="122"/>
    </row>
    <row r="245">
      <c r="A245" s="154"/>
      <c r="B245" s="126"/>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c r="AD245" s="122"/>
    </row>
    <row r="246">
      <c r="A246" s="154"/>
      <c r="B246" s="126"/>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c r="AD246" s="122"/>
    </row>
    <row r="247">
      <c r="A247" s="154"/>
      <c r="B247" s="126"/>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c r="AD247" s="122"/>
    </row>
    <row r="248">
      <c r="A248" s="154"/>
      <c r="B248" s="126"/>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c r="AD248" s="122"/>
    </row>
    <row r="249">
      <c r="A249" s="154"/>
      <c r="B249" s="126"/>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c r="AD249" s="122"/>
    </row>
    <row r="250">
      <c r="A250" s="154"/>
      <c r="B250" s="126"/>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c r="AD250" s="122"/>
    </row>
    <row r="251">
      <c r="A251" s="154"/>
      <c r="B251" s="126"/>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c r="AD251" s="122"/>
    </row>
    <row r="252">
      <c r="A252" s="154"/>
      <c r="B252" s="126"/>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c r="AD252" s="122"/>
    </row>
    <row r="253">
      <c r="A253" s="154"/>
      <c r="B253" s="126"/>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c r="AD253" s="122"/>
    </row>
    <row r="254">
      <c r="A254" s="154"/>
      <c r="B254" s="126"/>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c r="AD254" s="122"/>
    </row>
    <row r="255">
      <c r="A255" s="154"/>
      <c r="B255" s="126"/>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c r="AD255" s="122"/>
    </row>
    <row r="256">
      <c r="A256" s="154"/>
      <c r="B256" s="126"/>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c r="AD256" s="122"/>
    </row>
    <row r="257">
      <c r="A257" s="154"/>
      <c r="B257" s="126"/>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c r="AD257" s="122"/>
    </row>
    <row r="258">
      <c r="A258" s="154"/>
      <c r="B258" s="126"/>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c r="AD258" s="122"/>
    </row>
    <row r="259">
      <c r="A259" s="154"/>
      <c r="B259" s="126"/>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c r="AD259" s="122"/>
    </row>
    <row r="260">
      <c r="A260" s="154"/>
      <c r="B260" s="126"/>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c r="AD260" s="122"/>
    </row>
    <row r="261">
      <c r="A261" s="154"/>
      <c r="B261" s="126"/>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c r="AD261" s="122"/>
    </row>
    <row r="262">
      <c r="A262" s="154"/>
      <c r="B262" s="126"/>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c r="AD262" s="122"/>
    </row>
    <row r="263">
      <c r="A263" s="154"/>
      <c r="B263" s="126"/>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c r="AD263" s="122"/>
    </row>
    <row r="264">
      <c r="A264" s="154"/>
      <c r="B264" s="126"/>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c r="AD264" s="122"/>
    </row>
    <row r="265">
      <c r="A265" s="154"/>
      <c r="B265" s="126"/>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c r="AD265" s="122"/>
    </row>
    <row r="266">
      <c r="A266" s="154"/>
      <c r="B266" s="126"/>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c r="AD266" s="122"/>
    </row>
    <row r="267">
      <c r="A267" s="154"/>
      <c r="B267" s="126"/>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2"/>
    </row>
    <row r="268">
      <c r="A268" s="154"/>
      <c r="B268" s="126"/>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c r="AD268" s="122"/>
    </row>
    <row r="269">
      <c r="A269" s="154"/>
      <c r="B269" s="126"/>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c r="AD269" s="122"/>
    </row>
    <row r="270">
      <c r="A270" s="154"/>
      <c r="B270" s="126"/>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c r="AD270" s="122"/>
    </row>
    <row r="271">
      <c r="A271" s="154"/>
      <c r="B271" s="126"/>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c r="AD271" s="122"/>
    </row>
    <row r="272">
      <c r="A272" s="154"/>
      <c r="B272" s="126"/>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c r="AD272" s="122"/>
    </row>
    <row r="273">
      <c r="A273" s="154"/>
      <c r="B273" s="126"/>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c r="AD273" s="122"/>
    </row>
    <row r="274">
      <c r="A274" s="154"/>
      <c r="B274" s="126"/>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2"/>
    </row>
    <row r="275">
      <c r="A275" s="154"/>
      <c r="B275" s="126"/>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c r="AD275" s="122"/>
    </row>
    <row r="276">
      <c r="A276" s="154"/>
      <c r="B276" s="126"/>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c r="AD276" s="122"/>
    </row>
    <row r="277">
      <c r="A277" s="154"/>
      <c r="B277" s="126"/>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c r="AD277" s="122"/>
    </row>
    <row r="278">
      <c r="A278" s="154"/>
      <c r="B278" s="126"/>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c r="AD278" s="122"/>
    </row>
    <row r="279">
      <c r="A279" s="154"/>
      <c r="B279" s="126"/>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c r="AD279" s="122"/>
    </row>
    <row r="280">
      <c r="A280" s="154"/>
      <c r="B280" s="126"/>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c r="AD280" s="122"/>
    </row>
    <row r="281">
      <c r="A281" s="154"/>
      <c r="B281" s="126"/>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c r="AD281" s="122"/>
    </row>
    <row r="282">
      <c r="A282" s="154"/>
      <c r="B282" s="126"/>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c r="AD282" s="122"/>
    </row>
    <row r="283">
      <c r="A283" s="154"/>
      <c r="B283" s="126"/>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c r="AD283" s="122"/>
    </row>
    <row r="284">
      <c r="A284" s="154"/>
      <c r="B284" s="126"/>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c r="AD284" s="122"/>
    </row>
    <row r="285">
      <c r="A285" s="154"/>
      <c r="B285" s="126"/>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c r="AD285" s="122"/>
    </row>
    <row r="286">
      <c r="A286" s="154"/>
      <c r="B286" s="126"/>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c r="AD286" s="122"/>
    </row>
    <row r="287">
      <c r="A287" s="154"/>
      <c r="B287" s="126"/>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c r="AD287" s="122"/>
    </row>
    <row r="288">
      <c r="A288" s="154"/>
      <c r="B288" s="126"/>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2"/>
    </row>
    <row r="289">
      <c r="A289" s="154"/>
      <c r="B289" s="126"/>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c r="AD289" s="122"/>
    </row>
    <row r="290">
      <c r="A290" s="154"/>
      <c r="B290" s="126"/>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c r="AD290" s="122"/>
    </row>
    <row r="291">
      <c r="A291" s="154"/>
      <c r="B291" s="126"/>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c r="AD291" s="122"/>
    </row>
    <row r="292">
      <c r="A292" s="154"/>
      <c r="B292" s="126"/>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2"/>
    </row>
    <row r="293">
      <c r="A293" s="154"/>
      <c r="B293" s="126"/>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row>
    <row r="294">
      <c r="A294" s="154"/>
      <c r="B294" s="126"/>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2"/>
    </row>
    <row r="295">
      <c r="A295" s="154"/>
      <c r="B295" s="126"/>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c r="AD295" s="122"/>
    </row>
    <row r="296">
      <c r="A296" s="154"/>
      <c r="B296" s="126"/>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c r="AD296" s="122"/>
    </row>
    <row r="297">
      <c r="A297" s="154"/>
      <c r="B297" s="126"/>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c r="AD297" s="122"/>
    </row>
    <row r="298">
      <c r="A298" s="154"/>
      <c r="B298" s="126"/>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c r="AD298" s="122"/>
    </row>
    <row r="299">
      <c r="A299" s="154"/>
      <c r="B299" s="126"/>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c r="AD299" s="122"/>
    </row>
    <row r="300">
      <c r="A300" s="154"/>
      <c r="B300" s="126"/>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c r="AD300" s="122"/>
    </row>
    <row r="301">
      <c r="A301" s="154"/>
      <c r="B301" s="126"/>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c r="AD301" s="122"/>
    </row>
    <row r="302">
      <c r="A302" s="154"/>
      <c r="B302" s="126"/>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c r="AD302" s="122"/>
    </row>
    <row r="303">
      <c r="A303" s="154"/>
      <c r="B303" s="126"/>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c r="AD303" s="122"/>
    </row>
    <row r="304">
      <c r="A304" s="154"/>
      <c r="B304" s="126"/>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c r="AD304" s="122"/>
    </row>
    <row r="305">
      <c r="A305" s="154"/>
      <c r="B305" s="126"/>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c r="AD305" s="122"/>
    </row>
    <row r="306">
      <c r="A306" s="154"/>
      <c r="B306" s="126"/>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c r="AD306" s="122"/>
    </row>
    <row r="307">
      <c r="A307" s="154"/>
      <c r="B307" s="126"/>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c r="AD307" s="122"/>
    </row>
    <row r="308">
      <c r="A308" s="154"/>
      <c r="B308" s="126"/>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c r="AD308" s="122"/>
    </row>
    <row r="309">
      <c r="A309" s="154"/>
      <c r="B309" s="126"/>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c r="AD309" s="122"/>
    </row>
    <row r="310">
      <c r="A310" s="154"/>
      <c r="B310" s="126"/>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c r="AD310" s="122"/>
    </row>
    <row r="311">
      <c r="A311" s="154"/>
      <c r="B311" s="126"/>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c r="AD311" s="122"/>
    </row>
    <row r="312">
      <c r="A312" s="154"/>
      <c r="B312" s="126"/>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c r="AD312" s="122"/>
    </row>
    <row r="313">
      <c r="A313" s="154"/>
      <c r="B313" s="126"/>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c r="AD313" s="122"/>
    </row>
    <row r="314">
      <c r="A314" s="154"/>
      <c r="B314" s="126"/>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c r="AD314" s="122"/>
    </row>
    <row r="315">
      <c r="A315" s="154"/>
      <c r="B315" s="126"/>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c r="AD315" s="122"/>
    </row>
    <row r="316">
      <c r="A316" s="154"/>
      <c r="B316" s="126"/>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c r="AD316" s="122"/>
    </row>
    <row r="317">
      <c r="A317" s="154"/>
      <c r="B317" s="126"/>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c r="AD317" s="122"/>
    </row>
    <row r="318">
      <c r="A318" s="154"/>
      <c r="B318" s="126"/>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c r="AD318" s="122"/>
    </row>
    <row r="319">
      <c r="A319" s="154"/>
      <c r="B319" s="126"/>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c r="AD319" s="122"/>
    </row>
    <row r="320">
      <c r="A320" s="154"/>
      <c r="B320" s="126"/>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c r="AD320" s="122"/>
    </row>
    <row r="321">
      <c r="A321" s="154"/>
      <c r="B321" s="126"/>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c r="AD321" s="122"/>
    </row>
    <row r="322">
      <c r="A322" s="154"/>
      <c r="B322" s="126"/>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c r="AD322" s="122"/>
    </row>
    <row r="323">
      <c r="A323" s="154"/>
      <c r="B323" s="126"/>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c r="AD323" s="122"/>
    </row>
    <row r="324">
      <c r="A324" s="154"/>
      <c r="B324" s="126"/>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c r="AD324" s="122"/>
    </row>
    <row r="325">
      <c r="A325" s="154"/>
      <c r="B325" s="126"/>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c r="AD325" s="122"/>
    </row>
    <row r="326">
      <c r="A326" s="154"/>
      <c r="B326" s="126"/>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c r="AD326" s="122"/>
    </row>
    <row r="327">
      <c r="A327" s="154"/>
      <c r="B327" s="126"/>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c r="AD327" s="122"/>
    </row>
    <row r="328">
      <c r="A328" s="154"/>
      <c r="B328" s="126"/>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c r="AD328" s="122"/>
    </row>
    <row r="329">
      <c r="A329" s="154"/>
      <c r="B329" s="126"/>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c r="AD329" s="122"/>
    </row>
    <row r="330">
      <c r="A330" s="154"/>
      <c r="B330" s="126"/>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c r="AD330" s="122"/>
    </row>
    <row r="331">
      <c r="A331" s="154"/>
      <c r="B331" s="126"/>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c r="AD331" s="122"/>
    </row>
    <row r="332">
      <c r="A332" s="154"/>
      <c r="B332" s="126"/>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c r="AD332" s="122"/>
    </row>
    <row r="333">
      <c r="A333" s="154"/>
      <c r="B333" s="126"/>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c r="AD333" s="122"/>
    </row>
    <row r="334">
      <c r="A334" s="154"/>
      <c r="B334" s="126"/>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c r="AD334" s="122"/>
    </row>
    <row r="335">
      <c r="A335" s="154"/>
      <c r="B335" s="126"/>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c r="AD335" s="122"/>
    </row>
    <row r="336">
      <c r="A336" s="154"/>
      <c r="B336" s="126"/>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c r="AD336" s="122"/>
    </row>
    <row r="337">
      <c r="A337" s="154"/>
      <c r="B337" s="126"/>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c r="AD337" s="122"/>
    </row>
    <row r="338">
      <c r="A338" s="154"/>
      <c r="B338" s="126"/>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c r="AD338" s="122"/>
    </row>
    <row r="339">
      <c r="A339" s="154"/>
      <c r="B339" s="126"/>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c r="AD339" s="122"/>
    </row>
    <row r="340">
      <c r="A340" s="154"/>
      <c r="B340" s="126"/>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c r="AD340" s="122"/>
    </row>
    <row r="341">
      <c r="A341" s="154"/>
      <c r="B341" s="126"/>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c r="AD341" s="122"/>
    </row>
    <row r="342">
      <c r="A342" s="154"/>
      <c r="B342" s="126"/>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c r="AD342" s="122"/>
    </row>
    <row r="343">
      <c r="A343" s="154"/>
      <c r="B343" s="126"/>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c r="AD343" s="122"/>
    </row>
    <row r="344">
      <c r="A344" s="154"/>
      <c r="B344" s="126"/>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c r="AD344" s="122"/>
    </row>
    <row r="345">
      <c r="A345" s="154"/>
      <c r="B345" s="126"/>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c r="AD345" s="122"/>
    </row>
    <row r="346">
      <c r="A346" s="154"/>
      <c r="B346" s="126"/>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c r="AD346" s="122"/>
    </row>
    <row r="347">
      <c r="A347" s="154"/>
      <c r="B347" s="126"/>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c r="AD347" s="122"/>
    </row>
    <row r="348">
      <c r="A348" s="154"/>
      <c r="B348" s="126"/>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c r="AD348" s="122"/>
    </row>
    <row r="349">
      <c r="A349" s="154"/>
      <c r="B349" s="126"/>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c r="AD349" s="122"/>
    </row>
    <row r="350">
      <c r="A350" s="154"/>
      <c r="B350" s="126"/>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c r="AD350" s="122"/>
    </row>
    <row r="351">
      <c r="A351" s="154"/>
      <c r="B351" s="126"/>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c r="AD351" s="122"/>
    </row>
    <row r="352">
      <c r="A352" s="154"/>
      <c r="B352" s="126"/>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c r="AD352" s="122"/>
    </row>
    <row r="353">
      <c r="A353" s="154"/>
      <c r="B353" s="126"/>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c r="AD353" s="122"/>
    </row>
    <row r="354">
      <c r="A354" s="154"/>
      <c r="B354" s="126"/>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c r="AD354" s="122"/>
    </row>
    <row r="355">
      <c r="A355" s="154"/>
      <c r="B355" s="126"/>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c r="AD355" s="122"/>
    </row>
    <row r="356">
      <c r="A356" s="154"/>
      <c r="B356" s="126"/>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c r="AD356" s="122"/>
    </row>
    <row r="357">
      <c r="A357" s="154"/>
      <c r="B357" s="126"/>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c r="AD357" s="122"/>
    </row>
    <row r="358">
      <c r="A358" s="154"/>
      <c r="B358" s="126"/>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c r="AD358" s="122"/>
    </row>
    <row r="359">
      <c r="A359" s="154"/>
      <c r="B359" s="126"/>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c r="AD359" s="122"/>
    </row>
    <row r="360">
      <c r="A360" s="154"/>
      <c r="B360" s="126"/>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c r="AD360" s="122"/>
    </row>
    <row r="361">
      <c r="A361" s="154"/>
      <c r="B361" s="126"/>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c r="AD361" s="122"/>
    </row>
    <row r="362">
      <c r="A362" s="154"/>
      <c r="B362" s="126"/>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c r="AD362" s="122"/>
    </row>
    <row r="363">
      <c r="A363" s="154"/>
      <c r="B363" s="126"/>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c r="AD363" s="122"/>
    </row>
    <row r="364">
      <c r="A364" s="154"/>
      <c r="B364" s="126"/>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2"/>
    </row>
    <row r="365">
      <c r="A365" s="154"/>
      <c r="B365" s="126"/>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c r="AD365" s="122"/>
    </row>
    <row r="366">
      <c r="A366" s="154"/>
      <c r="B366" s="126"/>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c r="AD366" s="122"/>
    </row>
    <row r="367">
      <c r="A367" s="154"/>
      <c r="B367" s="126"/>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c r="AD367" s="122"/>
    </row>
    <row r="368">
      <c r="A368" s="154"/>
      <c r="B368" s="126"/>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c r="AD368" s="122"/>
    </row>
    <row r="369">
      <c r="A369" s="154"/>
      <c r="B369" s="126"/>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2"/>
    </row>
    <row r="370">
      <c r="A370" s="154"/>
      <c r="B370" s="126"/>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c r="AD370" s="122"/>
    </row>
    <row r="371">
      <c r="A371" s="154"/>
      <c r="B371" s="126"/>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c r="AD371" s="122"/>
    </row>
    <row r="372">
      <c r="A372" s="154"/>
      <c r="B372" s="126"/>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c r="AD372" s="122"/>
    </row>
    <row r="373">
      <c r="A373" s="154"/>
      <c r="B373" s="126"/>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c r="AD373" s="122"/>
    </row>
    <row r="374">
      <c r="A374" s="154"/>
      <c r="B374" s="126"/>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c r="AD374" s="122"/>
    </row>
    <row r="375">
      <c r="A375" s="154"/>
      <c r="B375" s="126"/>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c r="AD375" s="122"/>
    </row>
    <row r="376">
      <c r="A376" s="154"/>
      <c r="B376" s="126"/>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c r="AD376" s="122"/>
    </row>
    <row r="377">
      <c r="A377" s="154"/>
      <c r="B377" s="126"/>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c r="AD377" s="122"/>
    </row>
    <row r="378">
      <c r="A378" s="154"/>
      <c r="B378" s="126"/>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c r="AD378" s="122"/>
    </row>
    <row r="379">
      <c r="A379" s="154"/>
      <c r="B379" s="126"/>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c r="AD379" s="122"/>
    </row>
    <row r="380">
      <c r="A380" s="154"/>
      <c r="B380" s="126"/>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c r="AD380" s="122"/>
    </row>
    <row r="381">
      <c r="A381" s="154"/>
      <c r="B381" s="126"/>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c r="AD381" s="122"/>
    </row>
    <row r="382">
      <c r="A382" s="154"/>
      <c r="B382" s="126"/>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c r="AD382" s="122"/>
    </row>
    <row r="383">
      <c r="A383" s="154"/>
      <c r="B383" s="126"/>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c r="AD383" s="122"/>
    </row>
    <row r="384">
      <c r="A384" s="154"/>
      <c r="B384" s="126"/>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c r="AD384" s="122"/>
    </row>
    <row r="385">
      <c r="A385" s="154"/>
      <c r="B385" s="126"/>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c r="AD385" s="122"/>
    </row>
    <row r="386">
      <c r="A386" s="154"/>
      <c r="B386" s="126"/>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c r="AD386" s="122"/>
    </row>
    <row r="387">
      <c r="A387" s="154"/>
      <c r="B387" s="126"/>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c r="AD387" s="122"/>
    </row>
    <row r="388">
      <c r="A388" s="154"/>
      <c r="B388" s="126"/>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c r="AD388" s="122"/>
    </row>
    <row r="389">
      <c r="A389" s="154"/>
      <c r="B389" s="126"/>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c r="AD389" s="122"/>
    </row>
    <row r="390">
      <c r="A390" s="154"/>
      <c r="B390" s="126"/>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2"/>
    </row>
    <row r="391">
      <c r="A391" s="154"/>
      <c r="B391" s="126"/>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c r="AD391" s="122"/>
    </row>
    <row r="392">
      <c r="A392" s="154"/>
      <c r="B392" s="126"/>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c r="AD392" s="122"/>
    </row>
    <row r="393">
      <c r="A393" s="154"/>
      <c r="B393" s="126"/>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c r="AD393" s="122"/>
    </row>
    <row r="394">
      <c r="A394" s="154"/>
      <c r="B394" s="126"/>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c r="AD394" s="122"/>
    </row>
    <row r="395">
      <c r="A395" s="154"/>
      <c r="B395" s="126"/>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c r="AD395" s="122"/>
    </row>
    <row r="396">
      <c r="A396" s="154"/>
      <c r="B396" s="126"/>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c r="AD396" s="122"/>
    </row>
    <row r="397">
      <c r="A397" s="154"/>
      <c r="B397" s="126"/>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c r="AD397" s="122"/>
    </row>
    <row r="398">
      <c r="A398" s="154"/>
      <c r="B398" s="126"/>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c r="AD398" s="122"/>
    </row>
    <row r="399">
      <c r="A399" s="154"/>
      <c r="B399" s="126"/>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c r="AD399" s="122"/>
    </row>
    <row r="400">
      <c r="A400" s="154"/>
      <c r="B400" s="126"/>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c r="AD400" s="122"/>
    </row>
    <row r="401">
      <c r="A401" s="154"/>
      <c r="B401" s="126"/>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c r="AD401" s="122"/>
    </row>
    <row r="402">
      <c r="A402" s="154"/>
      <c r="B402" s="126"/>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c r="AD402" s="122"/>
    </row>
    <row r="403">
      <c r="A403" s="154"/>
      <c r="B403" s="126"/>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c r="AD403" s="122"/>
    </row>
    <row r="404">
      <c r="A404" s="154"/>
      <c r="B404" s="126"/>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c r="AD404" s="122"/>
    </row>
    <row r="405">
      <c r="A405" s="154"/>
      <c r="B405" s="126"/>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c r="AD405" s="122"/>
    </row>
    <row r="406">
      <c r="A406" s="154"/>
      <c r="B406" s="126"/>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c r="AD406" s="122"/>
    </row>
    <row r="407">
      <c r="A407" s="154"/>
      <c r="B407" s="126"/>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c r="AD407" s="122"/>
    </row>
    <row r="408">
      <c r="A408" s="154"/>
      <c r="B408" s="126"/>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c r="AD408" s="122"/>
    </row>
    <row r="409">
      <c r="A409" s="154"/>
      <c r="B409" s="126"/>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2"/>
    </row>
    <row r="410">
      <c r="A410" s="154"/>
      <c r="B410" s="126"/>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c r="AD410" s="122"/>
    </row>
    <row r="411">
      <c r="A411" s="154"/>
      <c r="B411" s="126"/>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c r="AD411" s="122"/>
    </row>
    <row r="412">
      <c r="A412" s="154"/>
      <c r="B412" s="126"/>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c r="AD412" s="122"/>
    </row>
    <row r="413">
      <c r="A413" s="154"/>
      <c r="B413" s="126"/>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c r="AD413" s="122"/>
    </row>
    <row r="414">
      <c r="A414" s="154"/>
      <c r="B414" s="126"/>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2"/>
    </row>
    <row r="415">
      <c r="A415" s="154"/>
      <c r="B415" s="126"/>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c r="AD415" s="122"/>
    </row>
    <row r="416">
      <c r="A416" s="154"/>
      <c r="B416" s="126"/>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c r="AD416" s="122"/>
    </row>
    <row r="417">
      <c r="A417" s="154"/>
      <c r="B417" s="126"/>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c r="AD417" s="122"/>
    </row>
    <row r="418">
      <c r="A418" s="154"/>
      <c r="B418" s="126"/>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c r="AD418" s="122"/>
    </row>
    <row r="419">
      <c r="A419" s="154"/>
      <c r="B419" s="126"/>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c r="AD419" s="122"/>
    </row>
    <row r="420">
      <c r="A420" s="154"/>
      <c r="B420" s="126"/>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c r="AD420" s="122"/>
    </row>
    <row r="421">
      <c r="A421" s="154"/>
      <c r="B421" s="126"/>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c r="AD421" s="122"/>
    </row>
    <row r="422">
      <c r="A422" s="154"/>
      <c r="B422" s="126"/>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c r="AD422" s="122"/>
    </row>
    <row r="423">
      <c r="A423" s="154"/>
      <c r="B423" s="126"/>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c r="AD423" s="122"/>
    </row>
    <row r="424">
      <c r="A424" s="154"/>
      <c r="B424" s="126"/>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c r="AD424" s="122"/>
    </row>
    <row r="425">
      <c r="A425" s="154"/>
      <c r="B425" s="126"/>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c r="AD425" s="122"/>
    </row>
    <row r="426">
      <c r="A426" s="154"/>
      <c r="B426" s="126"/>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c r="AD426" s="122"/>
    </row>
    <row r="427">
      <c r="A427" s="154"/>
      <c r="B427" s="126"/>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c r="AD427" s="122"/>
    </row>
    <row r="428">
      <c r="A428" s="154"/>
      <c r="B428" s="126"/>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c r="AD428" s="122"/>
    </row>
    <row r="429">
      <c r="A429" s="154"/>
      <c r="B429" s="126"/>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c r="AD429" s="122"/>
    </row>
    <row r="430">
      <c r="A430" s="154"/>
      <c r="B430" s="126"/>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c r="AD430" s="122"/>
    </row>
    <row r="431">
      <c r="A431" s="154"/>
      <c r="B431" s="126"/>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c r="AD431" s="122"/>
    </row>
    <row r="432">
      <c r="A432" s="154"/>
      <c r="B432" s="126"/>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c r="AD432" s="122"/>
    </row>
    <row r="433">
      <c r="A433" s="154"/>
      <c r="B433" s="126"/>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c r="AD433" s="122"/>
    </row>
    <row r="434">
      <c r="A434" s="154"/>
      <c r="B434" s="126"/>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2"/>
    </row>
    <row r="435">
      <c r="A435" s="154"/>
      <c r="B435" s="126"/>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c r="AD435" s="122"/>
    </row>
    <row r="436">
      <c r="A436" s="154"/>
      <c r="B436" s="126"/>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c r="AD436" s="122"/>
    </row>
    <row r="437">
      <c r="A437" s="154"/>
      <c r="B437" s="126"/>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c r="AD437" s="122"/>
    </row>
    <row r="438">
      <c r="A438" s="154"/>
      <c r="B438" s="126"/>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c r="AD438" s="122"/>
    </row>
    <row r="439">
      <c r="A439" s="154"/>
      <c r="B439" s="126"/>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c r="AD439" s="122"/>
    </row>
    <row r="440">
      <c r="A440" s="154"/>
      <c r="B440" s="126"/>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c r="AD440" s="122"/>
    </row>
    <row r="441">
      <c r="A441" s="154"/>
      <c r="B441" s="126"/>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c r="AD441" s="122"/>
    </row>
    <row r="442">
      <c r="A442" s="154"/>
      <c r="B442" s="126"/>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c r="AD442" s="122"/>
    </row>
    <row r="443">
      <c r="A443" s="154"/>
      <c r="B443" s="126"/>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c r="AD443" s="122"/>
    </row>
    <row r="444">
      <c r="A444" s="154"/>
      <c r="B444" s="126"/>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c r="AD444" s="122"/>
    </row>
    <row r="445">
      <c r="A445" s="154"/>
      <c r="B445" s="126"/>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c r="AD445" s="122"/>
    </row>
    <row r="446">
      <c r="A446" s="154"/>
      <c r="B446" s="126"/>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c r="AD446" s="122"/>
    </row>
    <row r="447">
      <c r="A447" s="154"/>
      <c r="B447" s="126"/>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c r="AD447" s="122"/>
    </row>
    <row r="448">
      <c r="A448" s="154"/>
      <c r="B448" s="126"/>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c r="AD448" s="122"/>
    </row>
    <row r="449">
      <c r="A449" s="154"/>
      <c r="B449" s="126"/>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c r="AD449" s="122"/>
    </row>
    <row r="450">
      <c r="A450" s="154"/>
      <c r="B450" s="126"/>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c r="AD450" s="122"/>
    </row>
    <row r="451">
      <c r="A451" s="154"/>
      <c r="B451" s="126"/>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c r="AD451" s="122"/>
    </row>
    <row r="452">
      <c r="A452" s="154"/>
      <c r="B452" s="126"/>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c r="AD452" s="122"/>
    </row>
    <row r="453">
      <c r="A453" s="154"/>
      <c r="B453" s="126"/>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c r="AD453" s="122"/>
    </row>
    <row r="454">
      <c r="A454" s="154"/>
      <c r="B454" s="126"/>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c r="AD454" s="122"/>
    </row>
    <row r="455">
      <c r="A455" s="154"/>
      <c r="B455" s="126"/>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c r="AD455" s="122"/>
    </row>
    <row r="456">
      <c r="A456" s="154"/>
      <c r="B456" s="126"/>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c r="AD456" s="122"/>
    </row>
    <row r="457">
      <c r="A457" s="154"/>
      <c r="B457" s="126"/>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c r="AD457" s="122"/>
    </row>
    <row r="458">
      <c r="A458" s="154"/>
      <c r="B458" s="126"/>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c r="AD458" s="122"/>
    </row>
    <row r="459">
      <c r="A459" s="154"/>
      <c r="B459" s="126"/>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c r="AD459" s="122"/>
    </row>
    <row r="460">
      <c r="A460" s="154"/>
      <c r="B460" s="126"/>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c r="AD460" s="122"/>
    </row>
    <row r="461">
      <c r="A461" s="154"/>
      <c r="B461" s="126"/>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c r="AD461" s="122"/>
    </row>
    <row r="462">
      <c r="A462" s="154"/>
      <c r="B462" s="126"/>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c r="AD462" s="122"/>
    </row>
    <row r="463">
      <c r="A463" s="154"/>
      <c r="B463" s="126"/>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c r="AD463" s="122"/>
    </row>
    <row r="464">
      <c r="A464" s="154"/>
      <c r="B464" s="126"/>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c r="AD464" s="122"/>
    </row>
    <row r="465">
      <c r="A465" s="154"/>
      <c r="B465" s="126"/>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c r="AD465" s="122"/>
    </row>
    <row r="466">
      <c r="A466" s="154"/>
      <c r="B466" s="126"/>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c r="AD466" s="122"/>
    </row>
    <row r="467">
      <c r="A467" s="154"/>
      <c r="B467" s="126"/>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2"/>
    </row>
    <row r="468">
      <c r="A468" s="154"/>
      <c r="B468" s="126"/>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c r="AD468" s="122"/>
    </row>
    <row r="469">
      <c r="A469" s="154"/>
      <c r="B469" s="126"/>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2"/>
    </row>
    <row r="470">
      <c r="A470" s="154"/>
      <c r="B470" s="126"/>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c r="AD470" s="122"/>
    </row>
    <row r="471">
      <c r="A471" s="154"/>
      <c r="B471" s="126"/>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c r="AD471" s="122"/>
    </row>
    <row r="472">
      <c r="A472" s="154"/>
      <c r="B472" s="126"/>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2"/>
    </row>
    <row r="473">
      <c r="A473" s="154"/>
      <c r="B473" s="126"/>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c r="AD473" s="122"/>
    </row>
    <row r="474">
      <c r="A474" s="154"/>
      <c r="B474" s="126"/>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2"/>
    </row>
    <row r="475">
      <c r="A475" s="154"/>
      <c r="B475" s="126"/>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c r="AD475" s="122"/>
    </row>
    <row r="476">
      <c r="A476" s="154"/>
      <c r="B476" s="126"/>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c r="AD476" s="122"/>
    </row>
    <row r="477">
      <c r="A477" s="154"/>
      <c r="B477" s="126"/>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2"/>
    </row>
    <row r="478">
      <c r="A478" s="154"/>
      <c r="B478" s="126"/>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c r="AD478" s="122"/>
    </row>
    <row r="479">
      <c r="A479" s="154"/>
      <c r="B479" s="126"/>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2"/>
    </row>
    <row r="480">
      <c r="A480" s="154"/>
      <c r="B480" s="126"/>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c r="AD480" s="122"/>
    </row>
    <row r="481">
      <c r="A481" s="154"/>
      <c r="B481" s="126"/>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c r="AD481" s="122"/>
    </row>
    <row r="482">
      <c r="A482" s="154"/>
      <c r="B482" s="126"/>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2"/>
    </row>
    <row r="483">
      <c r="A483" s="154"/>
      <c r="B483" s="126"/>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c r="AD483" s="122"/>
    </row>
    <row r="484">
      <c r="A484" s="154"/>
      <c r="B484" s="126"/>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c r="AD484" s="122"/>
    </row>
    <row r="485">
      <c r="A485" s="154"/>
      <c r="B485" s="126"/>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c r="AD485" s="122"/>
    </row>
    <row r="486">
      <c r="A486" s="154"/>
      <c r="B486" s="126"/>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row>
    <row r="487">
      <c r="A487" s="154"/>
      <c r="B487" s="126"/>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2"/>
    </row>
    <row r="488">
      <c r="A488" s="154"/>
      <c r="B488" s="126"/>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c r="AD488" s="122"/>
    </row>
    <row r="489">
      <c r="A489" s="154"/>
      <c r="B489" s="126"/>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c r="AD489" s="122"/>
    </row>
    <row r="490">
      <c r="A490" s="154"/>
      <c r="B490" s="126"/>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c r="AD490" s="122"/>
    </row>
    <row r="491">
      <c r="A491" s="154"/>
      <c r="B491" s="126"/>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c r="AD491" s="122"/>
    </row>
    <row r="492">
      <c r="A492" s="154"/>
      <c r="B492" s="126"/>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2"/>
    </row>
    <row r="493">
      <c r="A493" s="154"/>
      <c r="B493" s="126"/>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c r="AD493" s="122"/>
    </row>
    <row r="494">
      <c r="A494" s="154"/>
      <c r="B494" s="126"/>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c r="AD494" s="122"/>
    </row>
    <row r="495">
      <c r="A495" s="154"/>
      <c r="B495" s="126"/>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c r="AD495" s="122"/>
    </row>
    <row r="496">
      <c r="A496" s="154"/>
      <c r="B496" s="126"/>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2"/>
    </row>
    <row r="497">
      <c r="A497" s="154"/>
      <c r="B497" s="126"/>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2"/>
    </row>
    <row r="498">
      <c r="A498" s="154"/>
      <c r="B498" s="126"/>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c r="AD498" s="122"/>
    </row>
    <row r="499">
      <c r="A499" s="154"/>
      <c r="B499" s="126"/>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c r="AD499" s="122"/>
    </row>
    <row r="500">
      <c r="A500" s="154"/>
      <c r="B500" s="126"/>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2"/>
    </row>
    <row r="501">
      <c r="A501" s="154"/>
      <c r="B501" s="126"/>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c r="AD501" s="122"/>
    </row>
    <row r="502">
      <c r="A502" s="154"/>
      <c r="B502" s="126"/>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2"/>
    </row>
    <row r="503">
      <c r="A503" s="154"/>
      <c r="B503" s="126"/>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c r="AD503" s="122"/>
    </row>
    <row r="504">
      <c r="A504" s="154"/>
      <c r="B504" s="126"/>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c r="AD504" s="122"/>
    </row>
    <row r="505">
      <c r="A505" s="154"/>
      <c r="B505" s="126"/>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c r="AD505" s="122"/>
    </row>
    <row r="506">
      <c r="A506" s="154"/>
      <c r="B506" s="126"/>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c r="AD506" s="122"/>
    </row>
    <row r="507">
      <c r="A507" s="154"/>
      <c r="B507" s="126"/>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2"/>
    </row>
    <row r="508">
      <c r="A508" s="154"/>
      <c r="B508" s="126"/>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c r="AD508" s="122"/>
    </row>
    <row r="509">
      <c r="A509" s="154"/>
      <c r="B509" s="126"/>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2"/>
    </row>
    <row r="510">
      <c r="A510" s="154"/>
      <c r="B510" s="126"/>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c r="AD510" s="122"/>
    </row>
    <row r="511">
      <c r="A511" s="154"/>
      <c r="B511" s="126"/>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c r="AD511" s="122"/>
    </row>
    <row r="512">
      <c r="A512" s="154"/>
      <c r="B512" s="126"/>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2"/>
    </row>
    <row r="513">
      <c r="A513" s="154"/>
      <c r="B513" s="126"/>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c r="AD513" s="122"/>
    </row>
    <row r="514">
      <c r="A514" s="154"/>
      <c r="B514" s="126"/>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c r="AD514" s="122"/>
    </row>
    <row r="515">
      <c r="A515" s="154"/>
      <c r="B515" s="126"/>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c r="AD515" s="122"/>
    </row>
    <row r="516">
      <c r="A516" s="154"/>
      <c r="B516" s="126"/>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c r="AD516" s="122"/>
    </row>
    <row r="517">
      <c r="A517" s="154"/>
      <c r="B517" s="126"/>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2"/>
    </row>
    <row r="518">
      <c r="A518" s="154"/>
      <c r="B518" s="126"/>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c r="AD518" s="122"/>
    </row>
    <row r="519">
      <c r="A519" s="154"/>
      <c r="B519" s="126"/>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c r="AD519" s="122"/>
    </row>
    <row r="520">
      <c r="A520" s="154"/>
      <c r="B520" s="126"/>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c r="AD520" s="122"/>
    </row>
    <row r="521">
      <c r="A521" s="154"/>
      <c r="B521" s="126"/>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c r="AD521" s="122"/>
    </row>
    <row r="522">
      <c r="A522" s="154"/>
      <c r="B522" s="126"/>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2"/>
    </row>
    <row r="523">
      <c r="A523" s="154"/>
      <c r="B523" s="126"/>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c r="AD523" s="122"/>
    </row>
    <row r="524">
      <c r="A524" s="154"/>
      <c r="B524" s="126"/>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c r="AD524" s="122"/>
    </row>
    <row r="525">
      <c r="A525" s="154"/>
      <c r="B525" s="126"/>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c r="AD525" s="122"/>
    </row>
    <row r="526">
      <c r="A526" s="154"/>
      <c r="B526" s="126"/>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c r="AD526" s="122"/>
    </row>
    <row r="527">
      <c r="A527" s="154"/>
      <c r="B527" s="126"/>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c r="AD527" s="122"/>
    </row>
    <row r="528">
      <c r="A528" s="154"/>
      <c r="B528" s="126"/>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c r="AD528" s="122"/>
    </row>
    <row r="529">
      <c r="A529" s="154"/>
      <c r="B529" s="126"/>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c r="AD529" s="122"/>
    </row>
    <row r="530">
      <c r="A530" s="154"/>
      <c r="B530" s="126"/>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c r="AD530" s="122"/>
    </row>
    <row r="531">
      <c r="A531" s="154"/>
      <c r="B531" s="126"/>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c r="AD531" s="122"/>
    </row>
    <row r="532">
      <c r="A532" s="154"/>
      <c r="B532" s="126"/>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c r="AD532" s="122"/>
    </row>
    <row r="533">
      <c r="A533" s="154"/>
      <c r="B533" s="126"/>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c r="AD533" s="122"/>
    </row>
    <row r="534">
      <c r="A534" s="154"/>
      <c r="B534" s="126"/>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c r="AD534" s="122"/>
    </row>
    <row r="535">
      <c r="A535" s="154"/>
      <c r="B535" s="126"/>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c r="AD535" s="122"/>
    </row>
    <row r="536">
      <c r="A536" s="154"/>
      <c r="B536" s="126"/>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c r="AD536" s="122"/>
    </row>
    <row r="537">
      <c r="A537" s="154"/>
      <c r="B537" s="126"/>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c r="AD537" s="122"/>
    </row>
    <row r="538">
      <c r="A538" s="154"/>
      <c r="B538" s="126"/>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c r="AD538" s="122"/>
    </row>
    <row r="539">
      <c r="A539" s="154"/>
      <c r="B539" s="126"/>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2"/>
    </row>
    <row r="540">
      <c r="A540" s="154"/>
      <c r="B540" s="126"/>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c r="AD540" s="122"/>
    </row>
    <row r="541">
      <c r="A541" s="154"/>
      <c r="B541" s="126"/>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2"/>
    </row>
    <row r="542">
      <c r="A542" s="154"/>
      <c r="B542" s="126"/>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c r="AD542" s="122"/>
    </row>
    <row r="543">
      <c r="A543" s="154"/>
      <c r="B543" s="126"/>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2"/>
    </row>
    <row r="544">
      <c r="A544" s="154"/>
      <c r="B544" s="126"/>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c r="AD544" s="122"/>
    </row>
    <row r="545">
      <c r="A545" s="154"/>
      <c r="B545" s="126"/>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c r="AD545" s="122"/>
    </row>
    <row r="546">
      <c r="A546" s="154"/>
      <c r="B546" s="126"/>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c r="AD546" s="122"/>
    </row>
    <row r="547">
      <c r="A547" s="154"/>
      <c r="B547" s="126"/>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c r="AD547" s="122"/>
    </row>
    <row r="548">
      <c r="A548" s="154"/>
      <c r="B548" s="126"/>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c r="AD548" s="122"/>
    </row>
    <row r="549">
      <c r="A549" s="154"/>
      <c r="B549" s="126"/>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c r="AD549" s="122"/>
    </row>
    <row r="550">
      <c r="A550" s="154"/>
      <c r="B550" s="126"/>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c r="AD550" s="122"/>
    </row>
    <row r="551">
      <c r="A551" s="154"/>
      <c r="B551" s="126"/>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c r="AD551" s="122"/>
    </row>
    <row r="552">
      <c r="A552" s="154"/>
      <c r="B552" s="126"/>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c r="AD552" s="122"/>
    </row>
    <row r="553">
      <c r="A553" s="154"/>
      <c r="B553" s="126"/>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c r="AD553" s="122"/>
    </row>
    <row r="554">
      <c r="A554" s="154"/>
      <c r="B554" s="126"/>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c r="AD554" s="122"/>
    </row>
    <row r="555">
      <c r="A555" s="154"/>
      <c r="B555" s="126"/>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c r="AD555" s="122"/>
    </row>
    <row r="556">
      <c r="A556" s="154"/>
      <c r="B556" s="126"/>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c r="AD556" s="122"/>
    </row>
    <row r="557">
      <c r="A557" s="154"/>
      <c r="B557" s="126"/>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c r="AD557" s="122"/>
    </row>
    <row r="558">
      <c r="A558" s="154"/>
      <c r="B558" s="126"/>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c r="AD558" s="122"/>
    </row>
    <row r="559">
      <c r="A559" s="154"/>
      <c r="B559" s="126"/>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c r="AD559" s="122"/>
    </row>
    <row r="560">
      <c r="A560" s="154"/>
      <c r="B560" s="126"/>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c r="AD560" s="122"/>
    </row>
    <row r="561">
      <c r="A561" s="154"/>
      <c r="B561" s="126"/>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c r="AD561" s="122"/>
    </row>
    <row r="562">
      <c r="A562" s="154"/>
      <c r="B562" s="126"/>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c r="AD562" s="122"/>
    </row>
    <row r="563">
      <c r="A563" s="154"/>
      <c r="B563" s="126"/>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c r="AD563" s="122"/>
    </row>
    <row r="564">
      <c r="A564" s="154"/>
      <c r="B564" s="126"/>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c r="AD564" s="122"/>
    </row>
    <row r="565">
      <c r="A565" s="154"/>
      <c r="B565" s="126"/>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c r="AD565" s="122"/>
    </row>
    <row r="566">
      <c r="A566" s="154"/>
      <c r="B566" s="126"/>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c r="AD566" s="122"/>
    </row>
    <row r="567">
      <c r="A567" s="154"/>
      <c r="B567" s="126"/>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c r="AD567" s="122"/>
    </row>
    <row r="568">
      <c r="A568" s="154"/>
      <c r="B568" s="126"/>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c r="AD568" s="122"/>
    </row>
    <row r="569">
      <c r="A569" s="154"/>
      <c r="B569" s="126"/>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c r="AD569" s="122"/>
    </row>
    <row r="570">
      <c r="A570" s="154"/>
      <c r="B570" s="126"/>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c r="AD570" s="122"/>
    </row>
    <row r="571">
      <c r="A571" s="154"/>
      <c r="B571" s="126"/>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c r="AD571" s="122"/>
    </row>
    <row r="572">
      <c r="A572" s="154"/>
      <c r="B572" s="126"/>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c r="AD572" s="122"/>
    </row>
    <row r="573">
      <c r="A573" s="154"/>
      <c r="B573" s="126"/>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c r="AD573" s="122"/>
    </row>
    <row r="574">
      <c r="A574" s="154"/>
      <c r="B574" s="126"/>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c r="AD574" s="122"/>
    </row>
    <row r="575">
      <c r="A575" s="154"/>
      <c r="B575" s="126"/>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2"/>
    </row>
    <row r="576">
      <c r="A576" s="154"/>
      <c r="B576" s="126"/>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c r="AD576" s="122"/>
    </row>
    <row r="577">
      <c r="A577" s="154"/>
      <c r="B577" s="126"/>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c r="AD577" s="122"/>
    </row>
    <row r="578">
      <c r="A578" s="154"/>
      <c r="B578" s="126"/>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c r="AD578" s="122"/>
    </row>
    <row r="579">
      <c r="A579" s="154"/>
      <c r="B579" s="126"/>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c r="AD579" s="122"/>
    </row>
    <row r="580">
      <c r="A580" s="154"/>
      <c r="B580" s="126"/>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c r="AD580" s="122"/>
    </row>
    <row r="581">
      <c r="A581" s="154"/>
      <c r="B581" s="126"/>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c r="AD581" s="122"/>
    </row>
    <row r="582">
      <c r="A582" s="154"/>
      <c r="B582" s="126"/>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c r="AD582" s="122"/>
    </row>
    <row r="583">
      <c r="A583" s="154"/>
      <c r="B583" s="126"/>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c r="AD583" s="122"/>
    </row>
    <row r="584">
      <c r="A584" s="154"/>
      <c r="B584" s="126"/>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c r="AD584" s="122"/>
    </row>
    <row r="585">
      <c r="A585" s="154"/>
      <c r="B585" s="126"/>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c r="AD585" s="122"/>
    </row>
    <row r="586">
      <c r="A586" s="154"/>
      <c r="B586" s="126"/>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c r="AD586" s="122"/>
    </row>
    <row r="587">
      <c r="A587" s="154"/>
      <c r="B587" s="126"/>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row>
    <row r="588">
      <c r="A588" s="154"/>
      <c r="B588" s="126"/>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row>
    <row r="589">
      <c r="A589" s="154"/>
      <c r="B589" s="126"/>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c r="AD589" s="122"/>
    </row>
    <row r="590">
      <c r="A590" s="154"/>
      <c r="B590" s="126"/>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c r="AD590" s="122"/>
    </row>
    <row r="591">
      <c r="A591" s="154"/>
      <c r="B591" s="126"/>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c r="AD591" s="122"/>
    </row>
    <row r="592">
      <c r="A592" s="154"/>
      <c r="B592" s="126"/>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c r="AD592" s="122"/>
    </row>
    <row r="593">
      <c r="A593" s="154"/>
      <c r="B593" s="126"/>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c r="AD593" s="122"/>
    </row>
    <row r="594">
      <c r="A594" s="154"/>
      <c r="B594" s="126"/>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2"/>
    </row>
    <row r="595">
      <c r="A595" s="154"/>
      <c r="B595" s="126"/>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c r="AD595" s="122"/>
    </row>
    <row r="596">
      <c r="A596" s="154"/>
      <c r="B596" s="126"/>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2"/>
    </row>
    <row r="597">
      <c r="A597" s="154"/>
      <c r="B597" s="126"/>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c r="AD597" s="122"/>
    </row>
    <row r="598">
      <c r="A598" s="154"/>
      <c r="B598" s="126"/>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c r="AD598" s="122"/>
    </row>
    <row r="599">
      <c r="A599" s="154"/>
      <c r="B599" s="126"/>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c r="AD599" s="122"/>
    </row>
    <row r="600">
      <c r="A600" s="154"/>
      <c r="B600" s="126"/>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c r="AD600" s="122"/>
    </row>
    <row r="601">
      <c r="A601" s="154"/>
      <c r="B601" s="126"/>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c r="AD601" s="122"/>
    </row>
    <row r="602">
      <c r="A602" s="154"/>
      <c r="B602" s="126"/>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row>
    <row r="603">
      <c r="A603" s="154"/>
      <c r="B603" s="126"/>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row>
    <row r="604">
      <c r="A604" s="154"/>
      <c r="B604" s="126"/>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c r="AD604" s="122"/>
    </row>
    <row r="605">
      <c r="A605" s="154"/>
      <c r="B605" s="126"/>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c r="AD605" s="122"/>
    </row>
    <row r="606">
      <c r="A606" s="154"/>
      <c r="B606" s="126"/>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c r="AD606" s="122"/>
    </row>
    <row r="607">
      <c r="A607" s="154"/>
      <c r="B607" s="126"/>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c r="AD607" s="122"/>
    </row>
    <row r="608">
      <c r="A608" s="154"/>
      <c r="B608" s="126"/>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c r="AD608" s="122"/>
    </row>
    <row r="609">
      <c r="A609" s="154"/>
      <c r="B609" s="126"/>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c r="AD609" s="122"/>
    </row>
    <row r="610">
      <c r="A610" s="154"/>
      <c r="B610" s="126"/>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c r="AD610" s="122"/>
    </row>
    <row r="611">
      <c r="A611" s="154"/>
      <c r="B611" s="126"/>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c r="AD611" s="122"/>
    </row>
    <row r="612">
      <c r="A612" s="154"/>
      <c r="B612" s="126"/>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c r="AD612" s="122"/>
    </row>
    <row r="613">
      <c r="A613" s="154"/>
      <c r="B613" s="126"/>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c r="AD613" s="122"/>
    </row>
    <row r="614">
      <c r="A614" s="154"/>
      <c r="B614" s="126"/>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c r="AD614" s="122"/>
    </row>
    <row r="615">
      <c r="A615" s="154"/>
      <c r="B615" s="126"/>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c r="AD615" s="122"/>
    </row>
    <row r="616">
      <c r="A616" s="154"/>
      <c r="B616" s="126"/>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c r="AD616" s="122"/>
    </row>
    <row r="617">
      <c r="A617" s="154"/>
      <c r="B617" s="126"/>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row>
    <row r="618">
      <c r="A618" s="154"/>
      <c r="B618" s="126"/>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c r="AD618" s="122"/>
    </row>
    <row r="619">
      <c r="A619" s="154"/>
      <c r="B619" s="126"/>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c r="AD619" s="122"/>
    </row>
    <row r="620">
      <c r="A620" s="154"/>
      <c r="B620" s="126"/>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c r="AD620" s="122"/>
    </row>
    <row r="621">
      <c r="A621" s="154"/>
      <c r="B621" s="126"/>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c r="AD621" s="122"/>
    </row>
    <row r="622">
      <c r="A622" s="154"/>
      <c r="B622" s="126"/>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c r="AD622" s="122"/>
    </row>
    <row r="623">
      <c r="A623" s="154"/>
      <c r="B623" s="126"/>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c r="AD623" s="122"/>
    </row>
    <row r="624">
      <c r="A624" s="154"/>
      <c r="B624" s="126"/>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c r="AD624" s="122"/>
    </row>
    <row r="625">
      <c r="A625" s="154"/>
      <c r="B625" s="126"/>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c r="AD625" s="122"/>
    </row>
    <row r="626">
      <c r="A626" s="154"/>
      <c r="B626" s="126"/>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c r="AD626" s="122"/>
    </row>
    <row r="627">
      <c r="A627" s="154"/>
      <c r="B627" s="126"/>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c r="AD627" s="122"/>
    </row>
    <row r="628">
      <c r="A628" s="154"/>
      <c r="B628" s="126"/>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c r="AD628" s="122"/>
    </row>
    <row r="629">
      <c r="A629" s="154"/>
      <c r="B629" s="126"/>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c r="AD629" s="122"/>
    </row>
    <row r="630">
      <c r="A630" s="154"/>
      <c r="B630" s="126"/>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c r="AD630" s="122"/>
    </row>
    <row r="631">
      <c r="A631" s="154"/>
      <c r="B631" s="126"/>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c r="AD631" s="122"/>
    </row>
    <row r="632">
      <c r="A632" s="154"/>
      <c r="B632" s="126"/>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c r="AD632" s="122"/>
    </row>
    <row r="633">
      <c r="A633" s="154"/>
      <c r="B633" s="126"/>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c r="AD633" s="122"/>
    </row>
    <row r="634">
      <c r="A634" s="154"/>
      <c r="B634" s="126"/>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c r="AD634" s="122"/>
    </row>
    <row r="635">
      <c r="A635" s="154"/>
      <c r="B635" s="126"/>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c r="AD635" s="122"/>
    </row>
    <row r="636">
      <c r="A636" s="154"/>
      <c r="B636" s="126"/>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c r="AD636" s="122"/>
    </row>
    <row r="637">
      <c r="A637" s="154"/>
      <c r="B637" s="126"/>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c r="AD637" s="122"/>
    </row>
    <row r="638">
      <c r="A638" s="154"/>
      <c r="B638" s="126"/>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c r="AD638" s="122"/>
    </row>
    <row r="639">
      <c r="A639" s="154"/>
      <c r="B639" s="126"/>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c r="AD639" s="122"/>
    </row>
    <row r="640">
      <c r="A640" s="154"/>
      <c r="B640" s="126"/>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c r="AD640" s="122"/>
    </row>
    <row r="641">
      <c r="A641" s="154"/>
      <c r="B641" s="126"/>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c r="AD641" s="122"/>
    </row>
    <row r="642">
      <c r="A642" s="154"/>
      <c r="B642" s="126"/>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c r="AD642" s="122"/>
    </row>
    <row r="643">
      <c r="A643" s="154"/>
      <c r="B643" s="126"/>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c r="AD643" s="122"/>
    </row>
    <row r="644">
      <c r="A644" s="154"/>
      <c r="B644" s="126"/>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c r="AD644" s="122"/>
    </row>
    <row r="645">
      <c r="A645" s="154"/>
      <c r="B645" s="126"/>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c r="AD645" s="122"/>
    </row>
    <row r="646">
      <c r="A646" s="154"/>
      <c r="B646" s="126"/>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c r="AD646" s="122"/>
    </row>
    <row r="647">
      <c r="A647" s="154"/>
      <c r="B647" s="126"/>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c r="AD647" s="122"/>
    </row>
    <row r="648">
      <c r="A648" s="154"/>
      <c r="B648" s="126"/>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2"/>
    </row>
    <row r="649">
      <c r="A649" s="154"/>
      <c r="B649" s="126"/>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c r="AD649" s="122"/>
    </row>
    <row r="650">
      <c r="A650" s="154"/>
      <c r="B650" s="126"/>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c r="AD650" s="122"/>
    </row>
    <row r="651">
      <c r="A651" s="154"/>
      <c r="B651" s="126"/>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c r="AD651" s="122"/>
    </row>
    <row r="652">
      <c r="A652" s="154"/>
      <c r="B652" s="126"/>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c r="AD652" s="122"/>
    </row>
    <row r="653">
      <c r="A653" s="154"/>
      <c r="B653" s="126"/>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c r="AD653" s="122"/>
    </row>
    <row r="654">
      <c r="A654" s="154"/>
      <c r="B654" s="126"/>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c r="AD654" s="122"/>
    </row>
    <row r="655">
      <c r="A655" s="154"/>
      <c r="B655" s="126"/>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c r="AD655" s="122"/>
    </row>
    <row r="656">
      <c r="A656" s="154"/>
      <c r="B656" s="126"/>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c r="AD656" s="122"/>
    </row>
    <row r="657">
      <c r="A657" s="154"/>
      <c r="B657" s="126"/>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c r="AD657" s="122"/>
    </row>
    <row r="658">
      <c r="A658" s="154"/>
      <c r="B658" s="126"/>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c r="AD658" s="122"/>
    </row>
    <row r="659">
      <c r="A659" s="154"/>
      <c r="B659" s="126"/>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c r="AD659" s="122"/>
    </row>
    <row r="660">
      <c r="A660" s="154"/>
      <c r="B660" s="126"/>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c r="AD660" s="122"/>
    </row>
    <row r="661">
      <c r="A661" s="154"/>
      <c r="B661" s="126"/>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c r="AD661" s="122"/>
    </row>
    <row r="662">
      <c r="A662" s="154"/>
      <c r="B662" s="126"/>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c r="AD662" s="122"/>
    </row>
    <row r="663">
      <c r="A663" s="154"/>
      <c r="B663" s="126"/>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c r="AD663" s="122"/>
    </row>
    <row r="664">
      <c r="A664" s="154"/>
      <c r="B664" s="126"/>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c r="AD664" s="122"/>
    </row>
    <row r="665">
      <c r="A665" s="154"/>
      <c r="B665" s="126"/>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c r="AD665" s="122"/>
    </row>
    <row r="666">
      <c r="A666" s="154"/>
      <c r="B666" s="126"/>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c r="AD666" s="122"/>
    </row>
    <row r="667">
      <c r="A667" s="154"/>
      <c r="B667" s="126"/>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c r="AD667" s="122"/>
    </row>
    <row r="668">
      <c r="A668" s="154"/>
      <c r="B668" s="126"/>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row>
    <row r="669">
      <c r="A669" s="154"/>
      <c r="B669" s="126"/>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c r="AD669" s="122"/>
    </row>
    <row r="670">
      <c r="A670" s="154"/>
      <c r="B670" s="126"/>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2"/>
    </row>
    <row r="671">
      <c r="A671" s="154"/>
      <c r="B671" s="126"/>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c r="AD671" s="122"/>
    </row>
    <row r="672">
      <c r="A672" s="154"/>
      <c r="B672" s="126"/>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row>
    <row r="673">
      <c r="A673" s="154"/>
      <c r="B673" s="126"/>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row>
    <row r="674">
      <c r="A674" s="154"/>
      <c r="B674" s="126"/>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row>
    <row r="675">
      <c r="A675" s="154"/>
      <c r="B675" s="126"/>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2"/>
    </row>
    <row r="676">
      <c r="A676" s="154"/>
      <c r="B676" s="126"/>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2"/>
    </row>
    <row r="677">
      <c r="A677" s="154"/>
      <c r="B677" s="126"/>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c r="AD677" s="122"/>
    </row>
    <row r="678">
      <c r="A678" s="154"/>
      <c r="B678" s="126"/>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row>
    <row r="679">
      <c r="A679" s="154"/>
      <c r="B679" s="126"/>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c r="AD679" s="122"/>
    </row>
    <row r="680">
      <c r="A680" s="154"/>
      <c r="B680" s="126"/>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2"/>
    </row>
    <row r="681">
      <c r="A681" s="154"/>
      <c r="B681" s="126"/>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c r="AD681" s="122"/>
    </row>
    <row r="682">
      <c r="A682" s="154"/>
      <c r="B682" s="126"/>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c r="AD682" s="122"/>
    </row>
    <row r="683">
      <c r="A683" s="154"/>
      <c r="B683" s="126"/>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row>
    <row r="684">
      <c r="A684" s="154"/>
      <c r="B684" s="126"/>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c r="AD684" s="122"/>
    </row>
    <row r="685">
      <c r="A685" s="154"/>
      <c r="B685" s="126"/>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c r="AD685" s="122"/>
    </row>
    <row r="686">
      <c r="A686" s="154"/>
      <c r="B686" s="126"/>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c r="AD686" s="122"/>
    </row>
    <row r="687">
      <c r="A687" s="154"/>
      <c r="B687" s="126"/>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row>
    <row r="688">
      <c r="A688" s="154"/>
      <c r="B688" s="126"/>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row>
    <row r="689">
      <c r="A689" s="154"/>
      <c r="B689" s="126"/>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row>
    <row r="690">
      <c r="A690" s="154"/>
      <c r="B690" s="126"/>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c r="AD690" s="122"/>
    </row>
    <row r="691">
      <c r="A691" s="154"/>
      <c r="B691" s="126"/>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c r="AD691" s="122"/>
    </row>
    <row r="692">
      <c r="A692" s="154"/>
      <c r="B692" s="126"/>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c r="AD692" s="122"/>
    </row>
    <row r="693">
      <c r="A693" s="154"/>
      <c r="B693" s="126"/>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row>
    <row r="694">
      <c r="A694" s="154"/>
      <c r="B694" s="126"/>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c r="AD694" s="122"/>
    </row>
    <row r="695">
      <c r="A695" s="154"/>
      <c r="B695" s="126"/>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c r="AD695" s="122"/>
    </row>
    <row r="696">
      <c r="A696" s="154"/>
      <c r="B696" s="126"/>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c r="AD696" s="122"/>
    </row>
    <row r="697">
      <c r="A697" s="154"/>
      <c r="B697" s="126"/>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c r="AD697" s="122"/>
    </row>
    <row r="698">
      <c r="A698" s="154"/>
      <c r="B698" s="126"/>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c r="AD698" s="122"/>
    </row>
    <row r="699">
      <c r="A699" s="154"/>
      <c r="B699" s="126"/>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c r="AD699" s="122"/>
    </row>
    <row r="700">
      <c r="A700" s="154"/>
      <c r="B700" s="126"/>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c r="AD700" s="122"/>
    </row>
    <row r="701">
      <c r="A701" s="154"/>
      <c r="B701" s="126"/>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c r="AD701" s="122"/>
    </row>
    <row r="702">
      <c r="A702" s="154"/>
      <c r="B702" s="126"/>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c r="AD702" s="122"/>
    </row>
    <row r="703">
      <c r="A703" s="154"/>
      <c r="B703" s="126"/>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c r="AD703" s="122"/>
    </row>
    <row r="704">
      <c r="A704" s="154"/>
      <c r="B704" s="126"/>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c r="AD704" s="122"/>
    </row>
    <row r="705">
      <c r="A705" s="154"/>
      <c r="B705" s="126"/>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c r="AD705" s="122"/>
    </row>
    <row r="706">
      <c r="A706" s="154"/>
      <c r="B706" s="126"/>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c r="AD706" s="122"/>
    </row>
    <row r="707">
      <c r="A707" s="154"/>
      <c r="B707" s="126"/>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c r="AD707" s="122"/>
    </row>
    <row r="708">
      <c r="A708" s="154"/>
      <c r="B708" s="126"/>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c r="AD708" s="122"/>
    </row>
    <row r="709">
      <c r="A709" s="154"/>
      <c r="B709" s="126"/>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c r="AD709" s="122"/>
    </row>
    <row r="710">
      <c r="A710" s="154"/>
      <c r="B710" s="126"/>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c r="AD710" s="122"/>
    </row>
    <row r="711">
      <c r="A711" s="154"/>
      <c r="B711" s="126"/>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c r="AD711" s="122"/>
    </row>
    <row r="712">
      <c r="A712" s="154"/>
      <c r="B712" s="126"/>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c r="AD712" s="122"/>
    </row>
    <row r="713">
      <c r="A713" s="154"/>
      <c r="B713" s="126"/>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c r="AD713" s="122"/>
    </row>
    <row r="714">
      <c r="A714" s="154"/>
      <c r="B714" s="126"/>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c r="AD714" s="122"/>
    </row>
    <row r="715">
      <c r="A715" s="154"/>
      <c r="B715" s="126"/>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c r="AD715" s="122"/>
    </row>
    <row r="716">
      <c r="A716" s="154"/>
      <c r="B716" s="126"/>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c r="AD716" s="122"/>
    </row>
    <row r="717">
      <c r="A717" s="154"/>
      <c r="B717" s="126"/>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c r="AD717" s="122"/>
    </row>
    <row r="718">
      <c r="A718" s="154"/>
      <c r="B718" s="126"/>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c r="AD718" s="122"/>
    </row>
    <row r="719">
      <c r="A719" s="154"/>
      <c r="B719" s="126"/>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c r="AD719" s="122"/>
    </row>
    <row r="720">
      <c r="A720" s="154"/>
      <c r="B720" s="126"/>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c r="AD720" s="122"/>
    </row>
    <row r="721">
      <c r="A721" s="154"/>
      <c r="B721" s="126"/>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c r="AD721" s="122"/>
    </row>
    <row r="722">
      <c r="A722" s="154"/>
      <c r="B722" s="126"/>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c r="AD722" s="122"/>
    </row>
    <row r="723">
      <c r="A723" s="154"/>
      <c r="B723" s="126"/>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c r="AD723" s="122"/>
    </row>
    <row r="724">
      <c r="A724" s="154"/>
      <c r="B724" s="126"/>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c r="AD724" s="122"/>
    </row>
    <row r="725">
      <c r="A725" s="154"/>
      <c r="B725" s="126"/>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c r="AD725" s="122"/>
    </row>
    <row r="726">
      <c r="A726" s="154"/>
      <c r="B726" s="126"/>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c r="AD726" s="122"/>
    </row>
    <row r="727">
      <c r="A727" s="154"/>
      <c r="B727" s="126"/>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c r="AD727" s="122"/>
    </row>
    <row r="728">
      <c r="A728" s="154"/>
      <c r="B728" s="126"/>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c r="AD728" s="122"/>
    </row>
    <row r="729">
      <c r="A729" s="154"/>
      <c r="B729" s="126"/>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c r="AD729" s="122"/>
    </row>
    <row r="730">
      <c r="A730" s="154"/>
      <c r="B730" s="126"/>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c r="AD730" s="122"/>
    </row>
    <row r="731">
      <c r="A731" s="154"/>
      <c r="B731" s="126"/>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c r="AD731" s="122"/>
    </row>
    <row r="732">
      <c r="A732" s="154"/>
      <c r="B732" s="126"/>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c r="AD732" s="122"/>
    </row>
    <row r="733">
      <c r="A733" s="154"/>
      <c r="B733" s="126"/>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c r="AD733" s="122"/>
    </row>
    <row r="734">
      <c r="A734" s="154"/>
      <c r="B734" s="126"/>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c r="AD734" s="122"/>
    </row>
    <row r="735">
      <c r="A735" s="154"/>
      <c r="B735" s="126"/>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c r="AD735" s="122"/>
    </row>
    <row r="736">
      <c r="A736" s="154"/>
      <c r="B736" s="126"/>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c r="AD736" s="122"/>
    </row>
    <row r="737">
      <c r="A737" s="154"/>
      <c r="B737" s="126"/>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c r="AD737" s="122"/>
    </row>
    <row r="738">
      <c r="A738" s="154"/>
      <c r="B738" s="126"/>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c r="AD738" s="122"/>
    </row>
    <row r="739">
      <c r="A739" s="154"/>
      <c r="B739" s="126"/>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c r="AD739" s="122"/>
    </row>
    <row r="740">
      <c r="A740" s="154"/>
      <c r="B740" s="126"/>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c r="AD740" s="122"/>
    </row>
    <row r="741">
      <c r="A741" s="154"/>
      <c r="B741" s="126"/>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c r="AD741" s="122"/>
    </row>
    <row r="742">
      <c r="A742" s="154"/>
      <c r="B742" s="126"/>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c r="AD742" s="122"/>
    </row>
    <row r="743">
      <c r="A743" s="154"/>
      <c r="B743" s="126"/>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c r="AD743" s="122"/>
    </row>
    <row r="744">
      <c r="A744" s="154"/>
      <c r="B744" s="126"/>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c r="AD744" s="122"/>
    </row>
    <row r="745">
      <c r="A745" s="154"/>
      <c r="B745" s="126"/>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c r="AD745" s="122"/>
    </row>
    <row r="746">
      <c r="A746" s="154"/>
      <c r="B746" s="126"/>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c r="AD746" s="122"/>
    </row>
    <row r="747">
      <c r="A747" s="154"/>
      <c r="B747" s="126"/>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c r="AD747" s="122"/>
    </row>
    <row r="748">
      <c r="A748" s="154"/>
      <c r="B748" s="126"/>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c r="AD748" s="122"/>
    </row>
    <row r="749">
      <c r="A749" s="154"/>
      <c r="B749" s="126"/>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c r="AD749" s="122"/>
    </row>
    <row r="750">
      <c r="A750" s="154"/>
      <c r="B750" s="126"/>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c r="AD750" s="122"/>
    </row>
    <row r="751">
      <c r="A751" s="154"/>
      <c r="B751" s="126"/>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c r="AD751" s="122"/>
    </row>
    <row r="752">
      <c r="A752" s="154"/>
      <c r="B752" s="126"/>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2"/>
    </row>
    <row r="753">
      <c r="A753" s="154"/>
      <c r="B753" s="126"/>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c r="AD753" s="122"/>
    </row>
    <row r="754">
      <c r="A754" s="154"/>
      <c r="B754" s="126"/>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c r="AD754" s="122"/>
    </row>
    <row r="755">
      <c r="A755" s="154"/>
      <c r="B755" s="126"/>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c r="AD755" s="122"/>
    </row>
    <row r="756">
      <c r="A756" s="154"/>
      <c r="B756" s="126"/>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c r="AD756" s="122"/>
    </row>
    <row r="757">
      <c r="A757" s="154"/>
      <c r="B757" s="126"/>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c r="AD757" s="122"/>
    </row>
    <row r="758">
      <c r="A758" s="154"/>
      <c r="B758" s="126"/>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c r="AD758" s="122"/>
    </row>
    <row r="759">
      <c r="A759" s="154"/>
      <c r="B759" s="126"/>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c r="AD759" s="122"/>
    </row>
    <row r="760">
      <c r="A760" s="154"/>
      <c r="B760" s="126"/>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c r="AD760" s="122"/>
    </row>
    <row r="761">
      <c r="A761" s="154"/>
      <c r="B761" s="126"/>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c r="AD761" s="122"/>
    </row>
    <row r="762">
      <c r="A762" s="154"/>
      <c r="B762" s="126"/>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c r="AD762" s="122"/>
    </row>
    <row r="763">
      <c r="A763" s="154"/>
      <c r="B763" s="126"/>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c r="AD763" s="122"/>
    </row>
    <row r="764">
      <c r="A764" s="154"/>
      <c r="B764" s="126"/>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c r="AD764" s="122"/>
    </row>
    <row r="765">
      <c r="A765" s="154"/>
      <c r="B765" s="126"/>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c r="AD765" s="122"/>
    </row>
    <row r="766">
      <c r="A766" s="154"/>
      <c r="B766" s="126"/>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c r="AD766" s="122"/>
    </row>
    <row r="767">
      <c r="A767" s="154"/>
      <c r="B767" s="126"/>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c r="AD767" s="122"/>
    </row>
    <row r="768">
      <c r="A768" s="154"/>
      <c r="B768" s="126"/>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c r="AD768" s="122"/>
    </row>
    <row r="769">
      <c r="A769" s="154"/>
      <c r="B769" s="126"/>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c r="AD769" s="122"/>
    </row>
    <row r="770">
      <c r="A770" s="154"/>
      <c r="B770" s="126"/>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c r="AD770" s="122"/>
    </row>
    <row r="771">
      <c r="A771" s="154"/>
      <c r="B771" s="126"/>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c r="AD771" s="122"/>
    </row>
    <row r="772">
      <c r="A772" s="154"/>
      <c r="B772" s="126"/>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c r="AD772" s="122"/>
    </row>
    <row r="773">
      <c r="A773" s="154"/>
      <c r="B773" s="126"/>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c r="AD773" s="122"/>
    </row>
    <row r="774">
      <c r="A774" s="154"/>
      <c r="B774" s="126"/>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c r="AD774" s="122"/>
    </row>
    <row r="775">
      <c r="A775" s="154"/>
      <c r="B775" s="126"/>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c r="AD775" s="122"/>
    </row>
    <row r="776">
      <c r="A776" s="154"/>
      <c r="B776" s="126"/>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c r="AD776" s="122"/>
    </row>
    <row r="777">
      <c r="A777" s="154"/>
      <c r="B777" s="126"/>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c r="AD777" s="122"/>
    </row>
    <row r="778">
      <c r="A778" s="154"/>
      <c r="B778" s="126"/>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c r="AD778" s="122"/>
    </row>
    <row r="779">
      <c r="A779" s="154"/>
      <c r="B779" s="126"/>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c r="AD779" s="122"/>
    </row>
    <row r="780">
      <c r="A780" s="154"/>
      <c r="B780" s="126"/>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c r="AD780" s="122"/>
    </row>
    <row r="781">
      <c r="A781" s="154"/>
      <c r="B781" s="126"/>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c r="AD781" s="122"/>
    </row>
    <row r="782">
      <c r="A782" s="154"/>
      <c r="B782" s="126"/>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c r="AD782" s="122"/>
    </row>
    <row r="783">
      <c r="A783" s="154"/>
      <c r="B783" s="126"/>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c r="AD783" s="122"/>
    </row>
    <row r="784">
      <c r="A784" s="154"/>
      <c r="B784" s="126"/>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c r="AD784" s="122"/>
    </row>
    <row r="785">
      <c r="A785" s="154"/>
      <c r="B785" s="126"/>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c r="AD785" s="122"/>
    </row>
    <row r="786">
      <c r="A786" s="154"/>
      <c r="B786" s="126"/>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c r="AD786" s="122"/>
    </row>
    <row r="787">
      <c r="A787" s="154"/>
      <c r="B787" s="126"/>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c r="AD787" s="122"/>
    </row>
    <row r="788">
      <c r="A788" s="154"/>
      <c r="B788" s="126"/>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c r="AD788" s="122"/>
    </row>
    <row r="789">
      <c r="A789" s="154"/>
      <c r="B789" s="126"/>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c r="AD789" s="122"/>
    </row>
    <row r="790">
      <c r="A790" s="154"/>
      <c r="B790" s="126"/>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c r="AD790" s="122"/>
    </row>
    <row r="791">
      <c r="A791" s="154"/>
      <c r="B791" s="126"/>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c r="AD791" s="122"/>
    </row>
    <row r="792">
      <c r="A792" s="154"/>
      <c r="B792" s="126"/>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c r="AD792" s="122"/>
    </row>
    <row r="793">
      <c r="A793" s="154"/>
      <c r="B793" s="126"/>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c r="AD793" s="122"/>
    </row>
    <row r="794">
      <c r="A794" s="154"/>
      <c r="B794" s="126"/>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c r="AD794" s="122"/>
    </row>
    <row r="795">
      <c r="A795" s="154"/>
      <c r="B795" s="126"/>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c r="AD795" s="122"/>
    </row>
    <row r="796">
      <c r="A796" s="154"/>
      <c r="B796" s="126"/>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c r="AD796" s="122"/>
    </row>
    <row r="797">
      <c r="A797" s="154"/>
      <c r="B797" s="126"/>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c r="AD797" s="122"/>
    </row>
    <row r="798">
      <c r="A798" s="154"/>
      <c r="B798" s="126"/>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c r="AD798" s="122"/>
    </row>
    <row r="799">
      <c r="A799" s="154"/>
      <c r="B799" s="126"/>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c r="AD799" s="122"/>
    </row>
    <row r="800">
      <c r="A800" s="154"/>
      <c r="B800" s="126"/>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c r="AD800" s="122"/>
    </row>
    <row r="801">
      <c r="A801" s="154"/>
      <c r="B801" s="126"/>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c r="AD801" s="122"/>
    </row>
    <row r="802">
      <c r="A802" s="154"/>
      <c r="B802" s="126"/>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c r="AD802" s="122"/>
    </row>
    <row r="803">
      <c r="A803" s="154"/>
      <c r="B803" s="126"/>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c r="AD803" s="122"/>
    </row>
    <row r="804">
      <c r="A804" s="154"/>
      <c r="B804" s="126"/>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c r="AD804" s="122"/>
    </row>
    <row r="805">
      <c r="A805" s="154"/>
      <c r="B805" s="126"/>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c r="AD805" s="122"/>
    </row>
    <row r="806">
      <c r="A806" s="154"/>
      <c r="B806" s="126"/>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c r="AD806" s="122"/>
    </row>
    <row r="807">
      <c r="A807" s="154"/>
      <c r="B807" s="126"/>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c r="AD807" s="122"/>
    </row>
    <row r="808">
      <c r="A808" s="154"/>
      <c r="B808" s="126"/>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c r="AD808" s="122"/>
    </row>
    <row r="809">
      <c r="A809" s="154"/>
      <c r="B809" s="126"/>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c r="AD809" s="122"/>
    </row>
    <row r="810">
      <c r="A810" s="154"/>
      <c r="B810" s="126"/>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c r="AD810" s="122"/>
    </row>
    <row r="811">
      <c r="A811" s="154"/>
      <c r="B811" s="126"/>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c r="AD811" s="122"/>
    </row>
    <row r="812">
      <c r="A812" s="154"/>
      <c r="B812" s="126"/>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c r="AD812" s="122"/>
    </row>
    <row r="813">
      <c r="A813" s="154"/>
      <c r="B813" s="126"/>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c r="AD813" s="122"/>
    </row>
    <row r="814">
      <c r="A814" s="154"/>
      <c r="B814" s="126"/>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c r="AD814" s="122"/>
    </row>
    <row r="815">
      <c r="A815" s="154"/>
      <c r="B815" s="126"/>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c r="AD815" s="122"/>
    </row>
    <row r="816">
      <c r="A816" s="154"/>
      <c r="B816" s="126"/>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c r="AD816" s="122"/>
    </row>
    <row r="817">
      <c r="A817" s="154"/>
      <c r="B817" s="126"/>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c r="AD817" s="122"/>
    </row>
    <row r="818">
      <c r="A818" s="154"/>
      <c r="B818" s="126"/>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c r="AD818" s="122"/>
    </row>
    <row r="819">
      <c r="A819" s="154"/>
      <c r="B819" s="126"/>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c r="AD819" s="122"/>
    </row>
    <row r="820">
      <c r="A820" s="154"/>
      <c r="B820" s="126"/>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c r="AD820" s="122"/>
    </row>
    <row r="821">
      <c r="A821" s="154"/>
      <c r="B821" s="126"/>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c r="AD821" s="122"/>
    </row>
    <row r="822">
      <c r="A822" s="154"/>
      <c r="B822" s="126"/>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c r="AD822" s="122"/>
    </row>
    <row r="823">
      <c r="A823" s="154"/>
      <c r="B823" s="126"/>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c r="AD823" s="122"/>
    </row>
    <row r="824">
      <c r="A824" s="154"/>
      <c r="B824" s="126"/>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c r="AD824" s="122"/>
    </row>
    <row r="825">
      <c r="A825" s="154"/>
      <c r="B825" s="126"/>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c r="AD825" s="122"/>
    </row>
    <row r="826">
      <c r="A826" s="154"/>
      <c r="B826" s="126"/>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c r="AD826" s="122"/>
    </row>
    <row r="827">
      <c r="A827" s="154"/>
      <c r="B827" s="126"/>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c r="AD827" s="122"/>
    </row>
    <row r="828">
      <c r="A828" s="154"/>
      <c r="B828" s="126"/>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c r="AD828" s="122"/>
    </row>
    <row r="829">
      <c r="A829" s="154"/>
      <c r="B829" s="126"/>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c r="AD829" s="122"/>
    </row>
    <row r="830">
      <c r="A830" s="154"/>
      <c r="B830" s="126"/>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c r="AD830" s="122"/>
    </row>
    <row r="831">
      <c r="A831" s="154"/>
      <c r="B831" s="126"/>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c r="AD831" s="122"/>
    </row>
    <row r="832">
      <c r="A832" s="154"/>
      <c r="B832" s="126"/>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c r="AD832" s="122"/>
    </row>
    <row r="833">
      <c r="A833" s="154"/>
      <c r="B833" s="126"/>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c r="AD833" s="122"/>
    </row>
    <row r="834">
      <c r="A834" s="154"/>
      <c r="B834" s="126"/>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c r="AD834" s="122"/>
    </row>
    <row r="835">
      <c r="A835" s="154"/>
      <c r="B835" s="126"/>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c r="AD835" s="122"/>
    </row>
    <row r="836">
      <c r="A836" s="154"/>
      <c r="B836" s="126"/>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c r="AD836" s="122"/>
    </row>
    <row r="837">
      <c r="A837" s="154"/>
      <c r="B837" s="126"/>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c r="AD837" s="122"/>
    </row>
    <row r="838">
      <c r="A838" s="154"/>
      <c r="B838" s="126"/>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c r="AD838" s="122"/>
    </row>
    <row r="839">
      <c r="A839" s="154"/>
      <c r="B839" s="126"/>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c r="AD839" s="122"/>
    </row>
    <row r="840">
      <c r="A840" s="154"/>
      <c r="B840" s="126"/>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c r="AD840" s="122"/>
    </row>
    <row r="841">
      <c r="A841" s="154"/>
      <c r="B841" s="126"/>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c r="AD841" s="122"/>
    </row>
    <row r="842">
      <c r="A842" s="154"/>
      <c r="B842" s="126"/>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c r="AD842" s="122"/>
    </row>
    <row r="843">
      <c r="A843" s="154"/>
      <c r="B843" s="126"/>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c r="AD843" s="122"/>
    </row>
    <row r="844">
      <c r="A844" s="154"/>
      <c r="B844" s="126"/>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c r="AD844" s="122"/>
    </row>
    <row r="845">
      <c r="A845" s="154"/>
      <c r="B845" s="126"/>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c r="AD845" s="122"/>
    </row>
    <row r="846">
      <c r="A846" s="154"/>
      <c r="B846" s="126"/>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c r="AD846" s="122"/>
    </row>
    <row r="847">
      <c r="A847" s="154"/>
      <c r="B847" s="126"/>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c r="AD847" s="122"/>
    </row>
    <row r="848">
      <c r="A848" s="154"/>
      <c r="B848" s="126"/>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c r="AD848" s="122"/>
    </row>
    <row r="849">
      <c r="A849" s="154"/>
      <c r="B849" s="126"/>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c r="AD849" s="122"/>
    </row>
    <row r="850">
      <c r="A850" s="154"/>
      <c r="B850" s="126"/>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c r="AD850" s="122"/>
    </row>
    <row r="851">
      <c r="A851" s="154"/>
      <c r="B851" s="126"/>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c r="AD851" s="122"/>
    </row>
    <row r="852">
      <c r="A852" s="154"/>
      <c r="B852" s="126"/>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c r="AD852" s="122"/>
    </row>
    <row r="853">
      <c r="A853" s="154"/>
      <c r="B853" s="126"/>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c r="AD853" s="122"/>
    </row>
    <row r="854">
      <c r="A854" s="154"/>
      <c r="B854" s="126"/>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c r="AD854" s="122"/>
    </row>
    <row r="855">
      <c r="A855" s="154"/>
      <c r="B855" s="126"/>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c r="AD855" s="122"/>
    </row>
    <row r="856">
      <c r="A856" s="154"/>
      <c r="B856" s="126"/>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c r="AD856" s="122"/>
    </row>
    <row r="857">
      <c r="A857" s="154"/>
      <c r="B857" s="126"/>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c r="AD857" s="122"/>
    </row>
    <row r="858">
      <c r="A858" s="154"/>
      <c r="B858" s="126"/>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c r="AD858" s="122"/>
    </row>
    <row r="859">
      <c r="A859" s="154"/>
      <c r="B859" s="126"/>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c r="AD859" s="122"/>
    </row>
    <row r="860">
      <c r="A860" s="154"/>
      <c r="B860" s="126"/>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c r="AD860" s="122"/>
    </row>
    <row r="861">
      <c r="A861" s="154"/>
      <c r="B861" s="126"/>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c r="AD861" s="122"/>
    </row>
    <row r="862">
      <c r="A862" s="154"/>
      <c r="B862" s="126"/>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c r="AD862" s="122"/>
    </row>
    <row r="863">
      <c r="A863" s="154"/>
      <c r="B863" s="126"/>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c r="AD863" s="122"/>
    </row>
    <row r="864">
      <c r="A864" s="154"/>
      <c r="B864" s="126"/>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c r="AD864" s="122"/>
    </row>
    <row r="865">
      <c r="A865" s="154"/>
      <c r="B865" s="126"/>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c r="AD865" s="122"/>
    </row>
    <row r="866">
      <c r="A866" s="154"/>
      <c r="B866" s="126"/>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c r="AD866" s="122"/>
    </row>
    <row r="867">
      <c r="A867" s="154"/>
      <c r="B867" s="126"/>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c r="AD867" s="122"/>
    </row>
    <row r="868">
      <c r="A868" s="154"/>
      <c r="B868" s="126"/>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c r="AD868" s="122"/>
    </row>
    <row r="869">
      <c r="A869" s="154"/>
      <c r="B869" s="126"/>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c r="AD869" s="122"/>
    </row>
    <row r="870">
      <c r="A870" s="154"/>
      <c r="B870" s="126"/>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c r="AD870" s="122"/>
    </row>
    <row r="871">
      <c r="A871" s="154"/>
      <c r="B871" s="126"/>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c r="AD871" s="122"/>
    </row>
    <row r="872">
      <c r="A872" s="154"/>
      <c r="B872" s="126"/>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c r="AD872" s="122"/>
    </row>
    <row r="873">
      <c r="A873" s="154"/>
      <c r="B873" s="126"/>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c r="AD873" s="122"/>
    </row>
    <row r="874">
      <c r="A874" s="154"/>
      <c r="B874" s="126"/>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c r="AD874" s="122"/>
    </row>
    <row r="875">
      <c r="A875" s="154"/>
      <c r="B875" s="126"/>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c r="AD875" s="122"/>
    </row>
    <row r="876">
      <c r="A876" s="154"/>
      <c r="B876" s="126"/>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c r="AD876" s="122"/>
    </row>
    <row r="877">
      <c r="A877" s="154"/>
      <c r="B877" s="126"/>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c r="AD877" s="122"/>
    </row>
    <row r="878">
      <c r="A878" s="154"/>
      <c r="B878" s="126"/>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c r="AD878" s="122"/>
    </row>
    <row r="879">
      <c r="A879" s="154"/>
      <c r="B879" s="126"/>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c r="AD879" s="122"/>
    </row>
    <row r="880">
      <c r="A880" s="154"/>
      <c r="B880" s="126"/>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c r="AD880" s="122"/>
    </row>
    <row r="881">
      <c r="A881" s="154"/>
      <c r="B881" s="126"/>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c r="AD881" s="122"/>
    </row>
    <row r="882">
      <c r="A882" s="154"/>
      <c r="B882" s="126"/>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c r="AD882" s="122"/>
    </row>
    <row r="883">
      <c r="A883" s="154"/>
      <c r="B883" s="126"/>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c r="AD883" s="122"/>
    </row>
    <row r="884">
      <c r="A884" s="154"/>
      <c r="B884" s="126"/>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c r="AD884" s="122"/>
    </row>
    <row r="885">
      <c r="A885" s="154"/>
      <c r="B885" s="126"/>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c r="AD885" s="122"/>
    </row>
    <row r="886">
      <c r="A886" s="154"/>
      <c r="B886" s="126"/>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c r="AD886" s="122"/>
    </row>
    <row r="887">
      <c r="A887" s="154"/>
      <c r="B887" s="126"/>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c r="AD887" s="122"/>
    </row>
    <row r="888">
      <c r="A888" s="154"/>
      <c r="B888" s="126"/>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c r="AD888" s="122"/>
    </row>
    <row r="889">
      <c r="A889" s="154"/>
      <c r="B889" s="126"/>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c r="AD889" s="122"/>
    </row>
    <row r="890">
      <c r="A890" s="154"/>
      <c r="B890" s="126"/>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c r="AD890" s="122"/>
    </row>
    <row r="891">
      <c r="A891" s="154"/>
      <c r="B891" s="126"/>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c r="AD891" s="122"/>
    </row>
    <row r="892">
      <c r="A892" s="154"/>
      <c r="B892" s="126"/>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c r="AD892" s="122"/>
    </row>
    <row r="893">
      <c r="A893" s="154"/>
      <c r="B893" s="126"/>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c r="AD893" s="122"/>
    </row>
    <row r="894">
      <c r="A894" s="154"/>
      <c r="B894" s="126"/>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c r="AD894" s="122"/>
    </row>
    <row r="895">
      <c r="A895" s="154"/>
      <c r="B895" s="126"/>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c r="AD895" s="122"/>
    </row>
    <row r="896">
      <c r="A896" s="154"/>
      <c r="B896" s="126"/>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c r="AD896" s="122"/>
    </row>
    <row r="897">
      <c r="A897" s="154"/>
      <c r="B897" s="126"/>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c r="AD897" s="122"/>
    </row>
    <row r="898">
      <c r="A898" s="154"/>
      <c r="B898" s="126"/>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c r="AD898" s="122"/>
    </row>
    <row r="899">
      <c r="A899" s="154"/>
      <c r="B899" s="126"/>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c r="AD899" s="122"/>
    </row>
    <row r="900">
      <c r="A900" s="154"/>
      <c r="B900" s="126"/>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c r="AD900" s="122"/>
    </row>
    <row r="901">
      <c r="A901" s="154"/>
      <c r="B901" s="126"/>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c r="AD901" s="122"/>
    </row>
    <row r="902">
      <c r="A902" s="154"/>
      <c r="B902" s="126"/>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c r="AD902" s="122"/>
    </row>
    <row r="903">
      <c r="A903" s="154"/>
      <c r="B903" s="126"/>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c r="AD903" s="122"/>
    </row>
    <row r="904">
      <c r="A904" s="154"/>
      <c r="B904" s="126"/>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c r="AD904" s="122"/>
    </row>
    <row r="905">
      <c r="A905" s="154"/>
      <c r="B905" s="126"/>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c r="AD905" s="122"/>
    </row>
    <row r="906">
      <c r="A906" s="154"/>
      <c r="B906" s="126"/>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c r="AD906" s="122"/>
    </row>
    <row r="907">
      <c r="A907" s="154"/>
      <c r="B907" s="126"/>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c r="AD907" s="122"/>
    </row>
    <row r="908">
      <c r="A908" s="154"/>
      <c r="B908" s="126"/>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c r="AD908" s="122"/>
    </row>
    <row r="909">
      <c r="A909" s="154"/>
      <c r="B909" s="126"/>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c r="AD909" s="122"/>
    </row>
    <row r="910">
      <c r="A910" s="154"/>
      <c r="B910" s="126"/>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row>
    <row r="911">
      <c r="A911" s="154"/>
      <c r="B911" s="126"/>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row>
    <row r="912">
      <c r="A912" s="154"/>
      <c r="B912" s="126"/>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c r="AD912" s="122"/>
    </row>
    <row r="913">
      <c r="A913" s="154"/>
      <c r="B913" s="126"/>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c r="AD913" s="122"/>
    </row>
    <row r="914">
      <c r="A914" s="154"/>
      <c r="B914" s="126"/>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c r="AD914" s="122"/>
    </row>
    <row r="915">
      <c r="A915" s="154"/>
      <c r="B915" s="126"/>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c r="AD915" s="122"/>
    </row>
    <row r="916">
      <c r="A916" s="154"/>
      <c r="B916" s="126"/>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c r="AD916" s="122"/>
    </row>
    <row r="917">
      <c r="A917" s="154"/>
      <c r="B917" s="126"/>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c r="AD917" s="122"/>
    </row>
    <row r="918">
      <c r="A918" s="154"/>
      <c r="B918" s="126"/>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c r="AD918" s="122"/>
    </row>
    <row r="919">
      <c r="A919" s="154"/>
      <c r="B919" s="126"/>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c r="AD919" s="122"/>
    </row>
    <row r="920">
      <c r="A920" s="154"/>
      <c r="B920" s="126"/>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c r="AD920" s="122"/>
    </row>
    <row r="921">
      <c r="A921" s="154"/>
      <c r="B921" s="126"/>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c r="AD921" s="122"/>
    </row>
    <row r="922">
      <c r="A922" s="154"/>
      <c r="B922" s="126"/>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c r="AD922" s="122"/>
    </row>
    <row r="923">
      <c r="A923" s="154"/>
      <c r="B923" s="126"/>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c r="AD923" s="122"/>
    </row>
    <row r="924">
      <c r="A924" s="154"/>
      <c r="B924" s="126"/>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c r="AD924" s="122"/>
    </row>
    <row r="925">
      <c r="A925" s="154"/>
      <c r="B925" s="126"/>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c r="AD925" s="122"/>
    </row>
    <row r="926">
      <c r="A926" s="154"/>
      <c r="B926" s="126"/>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c r="AD926" s="122"/>
    </row>
    <row r="927">
      <c r="A927" s="154"/>
      <c r="B927" s="126"/>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c r="AD927" s="122"/>
    </row>
    <row r="928">
      <c r="A928" s="154"/>
      <c r="B928" s="126"/>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c r="AD928" s="122"/>
    </row>
    <row r="929">
      <c r="A929" s="154"/>
      <c r="B929" s="126"/>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c r="AD929" s="122"/>
    </row>
    <row r="930">
      <c r="A930" s="154"/>
      <c r="B930" s="126"/>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c r="AD930" s="122"/>
    </row>
    <row r="931">
      <c r="A931" s="154"/>
      <c r="B931" s="126"/>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c r="AD931" s="122"/>
    </row>
    <row r="932">
      <c r="A932" s="154"/>
      <c r="B932" s="126"/>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c r="AD932" s="122"/>
    </row>
    <row r="933">
      <c r="A933" s="154"/>
      <c r="B933" s="126"/>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c r="AD933" s="122"/>
    </row>
    <row r="934">
      <c r="A934" s="154"/>
      <c r="B934" s="126"/>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c r="AD934" s="122"/>
    </row>
    <row r="935">
      <c r="A935" s="154"/>
      <c r="B935" s="126"/>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c r="AD935" s="122"/>
    </row>
    <row r="936">
      <c r="A936" s="154"/>
      <c r="B936" s="126"/>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c r="AD936" s="122"/>
    </row>
    <row r="937">
      <c r="A937" s="154"/>
      <c r="B937" s="126"/>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c r="AD937" s="122"/>
    </row>
    <row r="938">
      <c r="A938" s="154"/>
      <c r="B938" s="126"/>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c r="AD938" s="122"/>
    </row>
    <row r="939">
      <c r="A939" s="154"/>
      <c r="B939" s="126"/>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c r="AD939" s="122"/>
    </row>
    <row r="940">
      <c r="A940" s="154"/>
      <c r="B940" s="126"/>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c r="AD940" s="122"/>
    </row>
    <row r="941">
      <c r="A941" s="154"/>
      <c r="B941" s="126"/>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c r="AD941" s="122"/>
    </row>
    <row r="942">
      <c r="A942" s="154"/>
      <c r="B942" s="126"/>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c r="AD942" s="122"/>
    </row>
    <row r="943">
      <c r="A943" s="154"/>
      <c r="B943" s="126"/>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c r="AD943" s="122"/>
    </row>
    <row r="944">
      <c r="A944" s="154"/>
      <c r="B944" s="126"/>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c r="AD944" s="122"/>
    </row>
    <row r="945">
      <c r="A945" s="154"/>
      <c r="B945" s="126"/>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c r="AD945" s="122"/>
    </row>
    <row r="946">
      <c r="A946" s="154"/>
      <c r="B946" s="126"/>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c r="AD946" s="122"/>
    </row>
    <row r="947">
      <c r="A947" s="154"/>
      <c r="B947" s="126"/>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c r="AD947" s="122"/>
    </row>
    <row r="948">
      <c r="A948" s="154"/>
      <c r="B948" s="126"/>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c r="AD948" s="122"/>
    </row>
    <row r="949">
      <c r="A949" s="154"/>
      <c r="B949" s="126"/>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c r="AD949" s="122"/>
    </row>
    <row r="950">
      <c r="A950" s="154"/>
      <c r="B950" s="126"/>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c r="AD950" s="122"/>
    </row>
    <row r="951">
      <c r="A951" s="154"/>
      <c r="B951" s="126"/>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c r="AD951" s="122"/>
    </row>
    <row r="952">
      <c r="A952" s="154"/>
      <c r="B952" s="126"/>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c r="AD952" s="122"/>
    </row>
    <row r="953">
      <c r="A953" s="154"/>
      <c r="B953" s="126"/>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c r="AD953" s="122"/>
    </row>
    <row r="954">
      <c r="A954" s="154"/>
      <c r="B954" s="126"/>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c r="AD954" s="122"/>
    </row>
    <row r="955">
      <c r="A955" s="154"/>
      <c r="B955" s="126"/>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c r="AD955" s="122"/>
    </row>
    <row r="956">
      <c r="A956" s="154"/>
      <c r="B956" s="126"/>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c r="AD956" s="122"/>
    </row>
    <row r="957">
      <c r="A957" s="154"/>
      <c r="B957" s="126"/>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c r="AD957" s="122"/>
    </row>
    <row r="958">
      <c r="A958" s="154"/>
      <c r="B958" s="126"/>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c r="AD958" s="122"/>
    </row>
    <row r="959">
      <c r="A959" s="154"/>
      <c r="B959" s="126"/>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c r="AD959" s="122"/>
    </row>
    <row r="960">
      <c r="A960" s="154"/>
      <c r="B960" s="126"/>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c r="AD960" s="122"/>
    </row>
    <row r="961">
      <c r="A961" s="154"/>
      <c r="B961" s="126"/>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c r="AD961" s="122"/>
    </row>
    <row r="962">
      <c r="A962" s="154"/>
      <c r="B962" s="126"/>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2"/>
      <c r="AD962" s="122"/>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0"/>
    <col customWidth="1" min="2" max="2" width="36.5"/>
    <col customWidth="1" min="3" max="21" width="7.63"/>
    <col customWidth="1" min="22" max="22" width="8.88"/>
    <col customWidth="1" min="23" max="27" width="7.63"/>
    <col customWidth="1" min="28" max="28" width="15.88"/>
    <col customWidth="1" min="29" max="29" width="7.63"/>
  </cols>
  <sheetData>
    <row r="1">
      <c r="A1" s="157"/>
      <c r="B1" s="30" t="s">
        <v>58</v>
      </c>
      <c r="C1" s="30" t="s">
        <v>5</v>
      </c>
      <c r="D1" s="31"/>
      <c r="E1" s="31"/>
      <c r="F1" s="30"/>
      <c r="G1" s="30"/>
      <c r="H1" s="30"/>
      <c r="I1" s="30"/>
      <c r="J1" s="31"/>
      <c r="K1" s="31"/>
      <c r="L1" s="31"/>
      <c r="M1" s="30" t="s">
        <v>6</v>
      </c>
      <c r="N1" s="33"/>
      <c r="O1" s="33"/>
      <c r="P1" s="33"/>
      <c r="Q1" s="31"/>
      <c r="R1" s="30" t="s">
        <v>7</v>
      </c>
      <c r="S1" s="110"/>
      <c r="T1" s="31"/>
      <c r="U1" s="30"/>
      <c r="V1" s="31"/>
      <c r="W1" s="30" t="s">
        <v>8</v>
      </c>
      <c r="X1" s="111"/>
      <c r="Y1" s="31"/>
      <c r="Z1" s="31"/>
      <c r="AA1" s="112" t="s">
        <v>59</v>
      </c>
      <c r="AB1" s="113"/>
      <c r="AC1" s="113"/>
      <c r="AD1" s="113"/>
    </row>
    <row r="2">
      <c r="A2" s="150"/>
      <c r="B2" s="114" t="s">
        <v>30</v>
      </c>
      <c r="C2" s="115" t="s">
        <v>11</v>
      </c>
      <c r="D2" s="115" t="s">
        <v>12</v>
      </c>
      <c r="E2" s="114" t="s">
        <v>13</v>
      </c>
      <c r="F2" s="114" t="s">
        <v>14</v>
      </c>
      <c r="G2" s="114" t="s">
        <v>15</v>
      </c>
      <c r="H2" s="114" t="s">
        <v>60</v>
      </c>
      <c r="I2" s="114" t="s">
        <v>17</v>
      </c>
      <c r="J2" s="115" t="s">
        <v>18</v>
      </c>
      <c r="K2" s="114" t="s">
        <v>19</v>
      </c>
      <c r="L2" s="114" t="s">
        <v>61</v>
      </c>
      <c r="M2" s="114" t="s">
        <v>62</v>
      </c>
      <c r="N2" s="114" t="s">
        <v>63</v>
      </c>
      <c r="O2" s="114" t="s">
        <v>64</v>
      </c>
      <c r="P2" s="114" t="s">
        <v>65</v>
      </c>
      <c r="Q2" s="114" t="s">
        <v>66</v>
      </c>
      <c r="R2" s="114" t="s">
        <v>67</v>
      </c>
      <c r="S2" s="114" t="s">
        <v>68</v>
      </c>
      <c r="T2" s="114" t="s">
        <v>27</v>
      </c>
      <c r="U2" s="115" t="s">
        <v>28</v>
      </c>
      <c r="V2" s="114" t="s">
        <v>69</v>
      </c>
      <c r="W2" s="114" t="s">
        <v>67</v>
      </c>
      <c r="X2" s="114" t="s">
        <v>29</v>
      </c>
      <c r="Y2" s="114" t="s">
        <v>19</v>
      </c>
      <c r="Z2" s="114" t="s">
        <v>70</v>
      </c>
      <c r="AA2" s="116" t="s">
        <v>30</v>
      </c>
      <c r="AB2" s="113"/>
      <c r="AC2" s="113"/>
      <c r="AD2" s="113"/>
    </row>
    <row r="3">
      <c r="A3" s="137">
        <v>44291.0</v>
      </c>
      <c r="B3" s="131" t="s">
        <v>231</v>
      </c>
      <c r="C3" s="132"/>
      <c r="D3" s="132"/>
      <c r="E3" s="132"/>
      <c r="F3" s="132"/>
      <c r="G3" s="132"/>
      <c r="H3" s="132"/>
      <c r="I3" s="132"/>
      <c r="J3" s="132"/>
      <c r="K3" s="132"/>
      <c r="L3" s="132"/>
      <c r="M3" s="133" t="s">
        <v>72</v>
      </c>
      <c r="N3" s="130">
        <v>248.0</v>
      </c>
      <c r="O3" s="132"/>
      <c r="P3" s="132"/>
      <c r="Q3" s="132"/>
      <c r="R3" s="132"/>
      <c r="S3" s="132"/>
      <c r="T3" s="132"/>
      <c r="U3" s="130">
        <v>248.0</v>
      </c>
      <c r="V3" s="129"/>
      <c r="W3" s="128"/>
      <c r="X3" s="128"/>
      <c r="Y3" s="128"/>
      <c r="Z3" s="129"/>
      <c r="AA3" s="120">
        <f t="shared" ref="AA3:AA61" si="1">sum(C3:L3,N3:Q3)-sum(S3:Z3)</f>
        <v>0</v>
      </c>
      <c r="AB3" s="121"/>
      <c r="AC3" s="111"/>
      <c r="AD3" s="111"/>
    </row>
    <row r="4">
      <c r="A4" s="137">
        <v>44382.0</v>
      </c>
      <c r="B4" s="131" t="s">
        <v>127</v>
      </c>
      <c r="C4" s="132"/>
      <c r="D4" s="132"/>
      <c r="E4" s="132"/>
      <c r="F4" s="132"/>
      <c r="G4" s="132"/>
      <c r="H4" s="132"/>
      <c r="I4" s="132"/>
      <c r="J4" s="132"/>
      <c r="K4" s="132"/>
      <c r="L4" s="132"/>
      <c r="M4" s="133" t="s">
        <v>72</v>
      </c>
      <c r="N4" s="130">
        <v>1400.0</v>
      </c>
      <c r="O4" s="132"/>
      <c r="P4" s="132"/>
      <c r="Q4" s="132"/>
      <c r="R4" s="132"/>
      <c r="S4" s="132"/>
      <c r="T4" s="132"/>
      <c r="U4" s="130">
        <v>1400.0</v>
      </c>
      <c r="V4" s="129"/>
      <c r="W4" s="128"/>
      <c r="X4" s="128"/>
      <c r="Y4" s="128"/>
      <c r="Z4" s="129"/>
      <c r="AA4" s="120">
        <f t="shared" si="1"/>
        <v>0</v>
      </c>
      <c r="AB4" s="122"/>
      <c r="AC4" s="122"/>
      <c r="AD4" s="122"/>
    </row>
    <row r="5">
      <c r="A5" s="137">
        <v>44444.0</v>
      </c>
      <c r="B5" s="131" t="s">
        <v>73</v>
      </c>
      <c r="C5" s="132"/>
      <c r="D5" s="132"/>
      <c r="E5" s="132"/>
      <c r="F5" s="132"/>
      <c r="G5" s="132"/>
      <c r="H5" s="132"/>
      <c r="I5" s="132"/>
      <c r="J5" s="132"/>
      <c r="K5" s="132"/>
      <c r="L5" s="132"/>
      <c r="M5" s="133" t="s">
        <v>72</v>
      </c>
      <c r="N5" s="130">
        <v>321.0</v>
      </c>
      <c r="O5" s="132"/>
      <c r="P5" s="132"/>
      <c r="Q5" s="132"/>
      <c r="R5" s="132"/>
      <c r="S5" s="132"/>
      <c r="T5" s="132"/>
      <c r="U5" s="130">
        <v>321.0</v>
      </c>
      <c r="V5" s="129"/>
      <c r="W5" s="128"/>
      <c r="X5" s="128"/>
      <c r="Y5" s="128"/>
      <c r="Z5" s="129"/>
      <c r="AA5" s="120">
        <f t="shared" si="1"/>
        <v>0</v>
      </c>
      <c r="AB5" s="111"/>
      <c r="AC5" s="111"/>
      <c r="AD5" s="111"/>
    </row>
    <row r="6">
      <c r="A6" s="137">
        <v>44505.0</v>
      </c>
      <c r="B6" s="131" t="s">
        <v>127</v>
      </c>
      <c r="C6" s="132"/>
      <c r="D6" s="132"/>
      <c r="E6" s="132"/>
      <c r="F6" s="132"/>
      <c r="G6" s="132"/>
      <c r="H6" s="132"/>
      <c r="I6" s="132"/>
      <c r="J6" s="132"/>
      <c r="K6" s="132"/>
      <c r="L6" s="132"/>
      <c r="M6" s="133" t="s">
        <v>72</v>
      </c>
      <c r="N6" s="130">
        <v>500.0</v>
      </c>
      <c r="O6" s="132"/>
      <c r="P6" s="132"/>
      <c r="Q6" s="132"/>
      <c r="R6" s="132"/>
      <c r="S6" s="132"/>
      <c r="T6" s="132"/>
      <c r="U6" s="130">
        <v>500.0</v>
      </c>
      <c r="V6" s="129"/>
      <c r="W6" s="128"/>
      <c r="X6" s="128"/>
      <c r="Y6" s="128"/>
      <c r="Z6" s="129"/>
      <c r="AA6" s="120">
        <f t="shared" si="1"/>
        <v>0</v>
      </c>
      <c r="AB6" s="111"/>
      <c r="AC6" s="111"/>
      <c r="AD6" s="111"/>
    </row>
    <row r="7">
      <c r="A7" s="130" t="s">
        <v>232</v>
      </c>
      <c r="B7" s="131" t="s">
        <v>75</v>
      </c>
      <c r="C7" s="132"/>
      <c r="D7" s="132"/>
      <c r="E7" s="132"/>
      <c r="F7" s="132"/>
      <c r="G7" s="132"/>
      <c r="H7" s="132"/>
      <c r="I7" s="132"/>
      <c r="J7" s="132"/>
      <c r="K7" s="132"/>
      <c r="L7" s="132"/>
      <c r="M7" s="133" t="s">
        <v>72</v>
      </c>
      <c r="N7" s="130">
        <v>409.0</v>
      </c>
      <c r="O7" s="132"/>
      <c r="P7" s="132"/>
      <c r="Q7" s="132"/>
      <c r="R7" s="132"/>
      <c r="S7" s="132"/>
      <c r="T7" s="132"/>
      <c r="U7" s="130">
        <v>409.0</v>
      </c>
      <c r="V7" s="129"/>
      <c r="W7" s="128"/>
      <c r="X7" s="128"/>
      <c r="Y7" s="128"/>
      <c r="Z7" s="129"/>
      <c r="AA7" s="120">
        <f t="shared" si="1"/>
        <v>0</v>
      </c>
      <c r="AB7" s="122"/>
      <c r="AC7" s="122"/>
      <c r="AD7" s="122"/>
    </row>
    <row r="8">
      <c r="A8" s="130" t="s">
        <v>232</v>
      </c>
      <c r="B8" s="131" t="s">
        <v>127</v>
      </c>
      <c r="C8" s="132"/>
      <c r="D8" s="132"/>
      <c r="E8" s="132"/>
      <c r="F8" s="132"/>
      <c r="G8" s="132"/>
      <c r="H8" s="132"/>
      <c r="I8" s="132"/>
      <c r="J8" s="132"/>
      <c r="K8" s="132"/>
      <c r="L8" s="132"/>
      <c r="M8" s="133" t="s">
        <v>72</v>
      </c>
      <c r="N8" s="130">
        <v>543.0</v>
      </c>
      <c r="O8" s="132"/>
      <c r="P8" s="132"/>
      <c r="Q8" s="132"/>
      <c r="R8" s="132"/>
      <c r="S8" s="132"/>
      <c r="T8" s="132"/>
      <c r="U8" s="130">
        <v>543.0</v>
      </c>
      <c r="V8" s="129"/>
      <c r="W8" s="128"/>
      <c r="X8" s="128"/>
      <c r="Y8" s="128"/>
      <c r="Z8" s="129"/>
      <c r="AA8" s="120">
        <f t="shared" si="1"/>
        <v>0</v>
      </c>
      <c r="AB8" s="121"/>
      <c r="AC8" s="122"/>
      <c r="AD8" s="122"/>
    </row>
    <row r="9">
      <c r="A9" s="130" t="s">
        <v>232</v>
      </c>
      <c r="B9" s="131" t="s">
        <v>127</v>
      </c>
      <c r="C9" s="132"/>
      <c r="D9" s="132"/>
      <c r="E9" s="132"/>
      <c r="F9" s="132"/>
      <c r="G9" s="132"/>
      <c r="H9" s="132"/>
      <c r="I9" s="132"/>
      <c r="J9" s="132"/>
      <c r="K9" s="132"/>
      <c r="L9" s="132"/>
      <c r="M9" s="133" t="s">
        <v>72</v>
      </c>
      <c r="N9" s="130">
        <v>1422.0</v>
      </c>
      <c r="O9" s="132"/>
      <c r="P9" s="132"/>
      <c r="Q9" s="132"/>
      <c r="R9" s="132"/>
      <c r="S9" s="132"/>
      <c r="T9" s="132"/>
      <c r="U9" s="130">
        <v>1422.0</v>
      </c>
      <c r="V9" s="129"/>
      <c r="W9" s="128"/>
      <c r="X9" s="128"/>
      <c r="Y9" s="128"/>
      <c r="Z9" s="129"/>
      <c r="AA9" s="120">
        <f t="shared" si="1"/>
        <v>0</v>
      </c>
      <c r="AB9" s="121"/>
      <c r="AC9" s="122"/>
      <c r="AD9" s="122"/>
    </row>
    <row r="10">
      <c r="A10" s="130" t="s">
        <v>233</v>
      </c>
      <c r="B10" s="131" t="s">
        <v>234</v>
      </c>
      <c r="C10" s="132"/>
      <c r="D10" s="132"/>
      <c r="E10" s="132"/>
      <c r="F10" s="132"/>
      <c r="G10" s="132"/>
      <c r="H10" s="132"/>
      <c r="I10" s="132"/>
      <c r="J10" s="132"/>
      <c r="K10" s="132"/>
      <c r="L10" s="132"/>
      <c r="M10" s="133" t="s">
        <v>72</v>
      </c>
      <c r="N10" s="130">
        <v>1004.0</v>
      </c>
      <c r="O10" s="132"/>
      <c r="P10" s="132"/>
      <c r="Q10" s="132"/>
      <c r="R10" s="132"/>
      <c r="S10" s="132"/>
      <c r="T10" s="132"/>
      <c r="U10" s="130">
        <v>1004.0</v>
      </c>
      <c r="V10" s="129"/>
      <c r="W10" s="128"/>
      <c r="X10" s="128"/>
      <c r="Y10" s="128"/>
      <c r="Z10" s="129"/>
      <c r="AA10" s="120">
        <f t="shared" si="1"/>
        <v>0</v>
      </c>
      <c r="AB10" s="122"/>
      <c r="AC10" s="122"/>
      <c r="AD10" s="122"/>
    </row>
    <row r="11">
      <c r="A11" s="130" t="s">
        <v>233</v>
      </c>
      <c r="B11" s="131" t="s">
        <v>231</v>
      </c>
      <c r="C11" s="132"/>
      <c r="D11" s="132"/>
      <c r="E11" s="132"/>
      <c r="F11" s="132"/>
      <c r="G11" s="132"/>
      <c r="H11" s="132"/>
      <c r="I11" s="132"/>
      <c r="J11" s="132"/>
      <c r="K11" s="132"/>
      <c r="L11" s="132"/>
      <c r="M11" s="133" t="s">
        <v>72</v>
      </c>
      <c r="N11" s="130">
        <v>734.0</v>
      </c>
      <c r="O11" s="132"/>
      <c r="P11" s="132"/>
      <c r="Q11" s="132"/>
      <c r="R11" s="132"/>
      <c r="S11" s="132"/>
      <c r="T11" s="132"/>
      <c r="U11" s="130">
        <v>734.0</v>
      </c>
      <c r="V11" s="129"/>
      <c r="W11" s="128"/>
      <c r="X11" s="128"/>
      <c r="Y11" s="128"/>
      <c r="Z11" s="129"/>
      <c r="AA11" s="120">
        <f t="shared" si="1"/>
        <v>0</v>
      </c>
      <c r="AB11" s="122"/>
      <c r="AC11" s="122"/>
      <c r="AD11" s="122"/>
    </row>
    <row r="12">
      <c r="A12" s="130" t="s">
        <v>235</v>
      </c>
      <c r="B12" s="131" t="s">
        <v>127</v>
      </c>
      <c r="C12" s="132"/>
      <c r="D12" s="132"/>
      <c r="E12" s="132"/>
      <c r="F12" s="132"/>
      <c r="G12" s="132"/>
      <c r="H12" s="132"/>
      <c r="I12" s="132"/>
      <c r="J12" s="132"/>
      <c r="K12" s="132"/>
      <c r="L12" s="132"/>
      <c r="M12" s="133" t="s">
        <v>72</v>
      </c>
      <c r="N12" s="130">
        <v>652.0</v>
      </c>
      <c r="O12" s="132"/>
      <c r="P12" s="132"/>
      <c r="Q12" s="132"/>
      <c r="R12" s="132"/>
      <c r="S12" s="132"/>
      <c r="T12" s="132"/>
      <c r="U12" s="130">
        <v>652.0</v>
      </c>
      <c r="V12" s="129"/>
      <c r="W12" s="128"/>
      <c r="X12" s="128"/>
      <c r="Y12" s="128"/>
      <c r="Z12" s="129"/>
      <c r="AA12" s="120">
        <f t="shared" si="1"/>
        <v>0</v>
      </c>
      <c r="AB12" s="122"/>
      <c r="AC12" s="122"/>
      <c r="AD12" s="122"/>
    </row>
    <row r="13">
      <c r="A13" s="130" t="s">
        <v>236</v>
      </c>
      <c r="B13" s="131" t="s">
        <v>205</v>
      </c>
      <c r="C13" s="132"/>
      <c r="D13" s="132"/>
      <c r="E13" s="132"/>
      <c r="F13" s="132"/>
      <c r="G13" s="132"/>
      <c r="H13" s="132"/>
      <c r="I13" s="132"/>
      <c r="J13" s="132"/>
      <c r="K13" s="132"/>
      <c r="L13" s="132"/>
      <c r="M13" s="133" t="s">
        <v>72</v>
      </c>
      <c r="N13" s="130">
        <v>226.0</v>
      </c>
      <c r="O13" s="132"/>
      <c r="P13" s="132"/>
      <c r="Q13" s="132"/>
      <c r="R13" s="132"/>
      <c r="S13" s="132"/>
      <c r="T13" s="132"/>
      <c r="U13" s="130">
        <v>226.0</v>
      </c>
      <c r="V13" s="129"/>
      <c r="W13" s="128"/>
      <c r="X13" s="128"/>
      <c r="Y13" s="128"/>
      <c r="Z13" s="129"/>
      <c r="AA13" s="120">
        <f t="shared" si="1"/>
        <v>0</v>
      </c>
      <c r="AB13" s="122"/>
      <c r="AC13" s="122"/>
      <c r="AD13" s="122"/>
    </row>
    <row r="14">
      <c r="A14" s="130" t="s">
        <v>236</v>
      </c>
      <c r="B14" s="131" t="s">
        <v>75</v>
      </c>
      <c r="C14" s="132"/>
      <c r="D14" s="132"/>
      <c r="E14" s="132"/>
      <c r="F14" s="132"/>
      <c r="G14" s="132"/>
      <c r="H14" s="132"/>
      <c r="I14" s="132"/>
      <c r="J14" s="132"/>
      <c r="K14" s="132"/>
      <c r="L14" s="132"/>
      <c r="M14" s="133" t="s">
        <v>72</v>
      </c>
      <c r="N14" s="130">
        <v>726.0</v>
      </c>
      <c r="O14" s="132"/>
      <c r="P14" s="132"/>
      <c r="Q14" s="132"/>
      <c r="R14" s="132"/>
      <c r="S14" s="132"/>
      <c r="T14" s="132"/>
      <c r="U14" s="130">
        <v>726.0</v>
      </c>
      <c r="V14" s="129"/>
      <c r="W14" s="128"/>
      <c r="X14" s="128"/>
      <c r="Y14" s="128"/>
      <c r="Z14" s="129"/>
      <c r="AA14" s="120">
        <f t="shared" si="1"/>
        <v>0</v>
      </c>
      <c r="AB14" s="122"/>
      <c r="AC14" s="122"/>
      <c r="AD14" s="122"/>
    </row>
    <row r="15">
      <c r="A15" s="130" t="s">
        <v>237</v>
      </c>
      <c r="B15" s="131" t="s">
        <v>73</v>
      </c>
      <c r="C15" s="132"/>
      <c r="D15" s="132"/>
      <c r="E15" s="132"/>
      <c r="F15" s="132"/>
      <c r="G15" s="132"/>
      <c r="H15" s="132"/>
      <c r="I15" s="132"/>
      <c r="J15" s="132"/>
      <c r="K15" s="132"/>
      <c r="L15" s="132"/>
      <c r="M15" s="133" t="s">
        <v>72</v>
      </c>
      <c r="N15" s="130">
        <v>325.0</v>
      </c>
      <c r="O15" s="132"/>
      <c r="P15" s="132"/>
      <c r="Q15" s="132"/>
      <c r="R15" s="132"/>
      <c r="S15" s="132"/>
      <c r="T15" s="132"/>
      <c r="U15" s="130">
        <v>325.0</v>
      </c>
      <c r="V15" s="129"/>
      <c r="W15" s="128"/>
      <c r="X15" s="128"/>
      <c r="Y15" s="128"/>
      <c r="Z15" s="129"/>
      <c r="AA15" s="120">
        <f t="shared" si="1"/>
        <v>0</v>
      </c>
      <c r="AB15" s="122"/>
      <c r="AC15" s="122"/>
      <c r="AD15" s="122"/>
    </row>
    <row r="16">
      <c r="A16" s="130" t="s">
        <v>238</v>
      </c>
      <c r="B16" s="131" t="s">
        <v>127</v>
      </c>
      <c r="C16" s="132"/>
      <c r="D16" s="132"/>
      <c r="E16" s="132"/>
      <c r="F16" s="132"/>
      <c r="G16" s="132"/>
      <c r="H16" s="132"/>
      <c r="I16" s="132"/>
      <c r="J16" s="132"/>
      <c r="K16" s="132"/>
      <c r="L16" s="132"/>
      <c r="M16" s="133" t="s">
        <v>72</v>
      </c>
      <c r="N16" s="130">
        <v>1080.0</v>
      </c>
      <c r="O16" s="132"/>
      <c r="P16" s="132"/>
      <c r="Q16" s="132"/>
      <c r="R16" s="132"/>
      <c r="S16" s="132"/>
      <c r="T16" s="132"/>
      <c r="U16" s="130">
        <v>1080.0</v>
      </c>
      <c r="V16" s="129"/>
      <c r="W16" s="128"/>
      <c r="X16" s="128"/>
      <c r="Y16" s="128"/>
      <c r="Z16" s="129"/>
      <c r="AA16" s="120">
        <f t="shared" si="1"/>
        <v>0</v>
      </c>
      <c r="AB16" s="121"/>
      <c r="AC16" s="122"/>
      <c r="AD16" s="122"/>
    </row>
    <row r="17">
      <c r="A17" s="130" t="s">
        <v>238</v>
      </c>
      <c r="B17" s="131" t="s">
        <v>127</v>
      </c>
      <c r="C17" s="132"/>
      <c r="D17" s="132"/>
      <c r="E17" s="132"/>
      <c r="F17" s="132"/>
      <c r="G17" s="132"/>
      <c r="H17" s="132"/>
      <c r="I17" s="132"/>
      <c r="J17" s="132"/>
      <c r="K17" s="132"/>
      <c r="L17" s="132"/>
      <c r="M17" s="133" t="s">
        <v>72</v>
      </c>
      <c r="N17" s="130">
        <v>1760.0</v>
      </c>
      <c r="O17" s="132"/>
      <c r="P17" s="132"/>
      <c r="Q17" s="132"/>
      <c r="R17" s="132"/>
      <c r="S17" s="132"/>
      <c r="T17" s="132"/>
      <c r="U17" s="130">
        <v>1760.0</v>
      </c>
      <c r="V17" s="129"/>
      <c r="W17" s="128"/>
      <c r="X17" s="128"/>
      <c r="Y17" s="128"/>
      <c r="Z17" s="129"/>
      <c r="AA17" s="120">
        <f t="shared" si="1"/>
        <v>0</v>
      </c>
      <c r="AB17" s="122"/>
      <c r="AC17" s="122"/>
      <c r="AD17" s="122"/>
    </row>
    <row r="18">
      <c r="A18" s="130" t="s">
        <v>236</v>
      </c>
      <c r="B18" s="131" t="s">
        <v>213</v>
      </c>
      <c r="C18" s="132"/>
      <c r="D18" s="132"/>
      <c r="E18" s="132"/>
      <c r="F18" s="132"/>
      <c r="G18" s="132"/>
      <c r="H18" s="132"/>
      <c r="I18" s="132"/>
      <c r="J18" s="132"/>
      <c r="K18" s="132"/>
      <c r="L18" s="132"/>
      <c r="M18" s="133" t="s">
        <v>72</v>
      </c>
      <c r="N18" s="130">
        <v>964.0</v>
      </c>
      <c r="O18" s="132"/>
      <c r="P18" s="132"/>
      <c r="Q18" s="134"/>
      <c r="R18" s="132"/>
      <c r="S18" s="132"/>
      <c r="T18" s="132"/>
      <c r="U18" s="130">
        <v>964.0</v>
      </c>
      <c r="V18" s="129"/>
      <c r="W18" s="128"/>
      <c r="X18" s="128"/>
      <c r="Y18" s="128"/>
      <c r="Z18" s="129"/>
      <c r="AA18" s="120">
        <f t="shared" si="1"/>
        <v>0</v>
      </c>
      <c r="AB18" s="111"/>
      <c r="AC18" s="111"/>
      <c r="AD18" s="111"/>
    </row>
    <row r="19">
      <c r="A19" s="130" t="s">
        <v>237</v>
      </c>
      <c r="B19" s="131" t="s">
        <v>213</v>
      </c>
      <c r="C19" s="132"/>
      <c r="D19" s="132"/>
      <c r="E19" s="132"/>
      <c r="F19" s="132"/>
      <c r="G19" s="132"/>
      <c r="H19" s="132"/>
      <c r="I19" s="132"/>
      <c r="J19" s="132"/>
      <c r="K19" s="132"/>
      <c r="L19" s="132"/>
      <c r="M19" s="133" t="s">
        <v>72</v>
      </c>
      <c r="N19" s="130">
        <v>1177.0</v>
      </c>
      <c r="O19" s="132"/>
      <c r="P19" s="132"/>
      <c r="Q19" s="134"/>
      <c r="R19" s="132"/>
      <c r="S19" s="132"/>
      <c r="T19" s="132"/>
      <c r="U19" s="130">
        <v>1177.0</v>
      </c>
      <c r="V19" s="129"/>
      <c r="W19" s="128"/>
      <c r="X19" s="128"/>
      <c r="Y19" s="128"/>
      <c r="Z19" s="129"/>
      <c r="AA19" s="120">
        <f t="shared" si="1"/>
        <v>0</v>
      </c>
      <c r="AB19" s="111"/>
      <c r="AC19" s="111"/>
      <c r="AD19" s="111"/>
    </row>
    <row r="20">
      <c r="A20" s="130" t="s">
        <v>239</v>
      </c>
      <c r="B20" s="131" t="s">
        <v>213</v>
      </c>
      <c r="C20" s="132"/>
      <c r="D20" s="132"/>
      <c r="E20" s="132"/>
      <c r="F20" s="132"/>
      <c r="G20" s="132"/>
      <c r="H20" s="132"/>
      <c r="I20" s="132"/>
      <c r="J20" s="132"/>
      <c r="K20" s="132"/>
      <c r="L20" s="132"/>
      <c r="M20" s="133" t="s">
        <v>72</v>
      </c>
      <c r="N20" s="130">
        <v>2255.0</v>
      </c>
      <c r="O20" s="132"/>
      <c r="P20" s="132"/>
      <c r="Q20" s="134"/>
      <c r="R20" s="132"/>
      <c r="S20" s="132"/>
      <c r="T20" s="132"/>
      <c r="U20" s="130">
        <v>2255.0</v>
      </c>
      <c r="V20" s="129"/>
      <c r="W20" s="128"/>
      <c r="X20" s="128"/>
      <c r="Y20" s="128"/>
      <c r="Z20" s="129"/>
      <c r="AA20" s="120">
        <f t="shared" si="1"/>
        <v>0</v>
      </c>
      <c r="AB20" s="111"/>
      <c r="AC20" s="111"/>
      <c r="AD20" s="111"/>
    </row>
    <row r="21">
      <c r="A21" s="137">
        <v>44201.0</v>
      </c>
      <c r="B21" s="131" t="s">
        <v>189</v>
      </c>
      <c r="C21" s="132"/>
      <c r="D21" s="132"/>
      <c r="E21" s="132"/>
      <c r="F21" s="132"/>
      <c r="G21" s="132"/>
      <c r="H21" s="132"/>
      <c r="I21" s="132"/>
      <c r="J21" s="132"/>
      <c r="K21" s="132"/>
      <c r="L21" s="132"/>
      <c r="M21" s="133" t="s">
        <v>72</v>
      </c>
      <c r="N21" s="132"/>
      <c r="O21" s="132"/>
      <c r="P21" s="132"/>
      <c r="Q21" s="130">
        <v>110.0</v>
      </c>
      <c r="R21" s="132"/>
      <c r="S21" s="132"/>
      <c r="T21" s="132"/>
      <c r="U21" s="130">
        <v>110.0</v>
      </c>
      <c r="V21" s="129"/>
      <c r="W21" s="128"/>
      <c r="X21" s="128"/>
      <c r="Y21" s="128"/>
      <c r="Z21" s="129"/>
      <c r="AA21" s="120">
        <f t="shared" si="1"/>
        <v>0</v>
      </c>
      <c r="AB21" s="111"/>
      <c r="AC21" s="111"/>
      <c r="AD21" s="111"/>
    </row>
    <row r="22">
      <c r="A22" s="130" t="s">
        <v>240</v>
      </c>
      <c r="B22" s="131" t="s">
        <v>77</v>
      </c>
      <c r="C22" s="132"/>
      <c r="D22" s="132"/>
      <c r="E22" s="132"/>
      <c r="F22" s="132"/>
      <c r="G22" s="132"/>
      <c r="H22" s="132"/>
      <c r="I22" s="132"/>
      <c r="J22" s="132"/>
      <c r="K22" s="132"/>
      <c r="L22" s="132"/>
      <c r="M22" s="133" t="s">
        <v>72</v>
      </c>
      <c r="N22" s="132"/>
      <c r="O22" s="132"/>
      <c r="P22" s="132"/>
      <c r="Q22" s="130">
        <v>250.0</v>
      </c>
      <c r="R22" s="132"/>
      <c r="S22" s="132"/>
      <c r="T22" s="132"/>
      <c r="U22" s="130">
        <v>250.0</v>
      </c>
      <c r="V22" s="129"/>
      <c r="W22" s="128"/>
      <c r="X22" s="128"/>
      <c r="Y22" s="128"/>
      <c r="Z22" s="129"/>
      <c r="AA22" s="120">
        <f t="shared" si="1"/>
        <v>0</v>
      </c>
      <c r="AB22" s="122"/>
      <c r="AC22" s="122"/>
      <c r="AD22" s="122"/>
    </row>
    <row r="23">
      <c r="A23" s="130" t="s">
        <v>241</v>
      </c>
      <c r="B23" s="131" t="s">
        <v>216</v>
      </c>
      <c r="C23" s="132"/>
      <c r="D23" s="132"/>
      <c r="E23" s="132"/>
      <c r="F23" s="132"/>
      <c r="G23" s="132"/>
      <c r="H23" s="132"/>
      <c r="I23" s="132"/>
      <c r="J23" s="132"/>
      <c r="K23" s="132"/>
      <c r="L23" s="132"/>
      <c r="M23" s="133" t="s">
        <v>72</v>
      </c>
      <c r="N23" s="132"/>
      <c r="O23" s="132"/>
      <c r="P23" s="134"/>
      <c r="Q23" s="130">
        <v>980.0</v>
      </c>
      <c r="R23" s="132"/>
      <c r="S23" s="132"/>
      <c r="T23" s="132"/>
      <c r="U23" s="130">
        <v>980.0</v>
      </c>
      <c r="V23" s="129"/>
      <c r="W23" s="128"/>
      <c r="X23" s="128"/>
      <c r="Y23" s="128"/>
      <c r="Z23" s="129"/>
      <c r="AA23" s="120">
        <f t="shared" si="1"/>
        <v>0</v>
      </c>
      <c r="AB23" s="122"/>
      <c r="AC23" s="122"/>
      <c r="AD23" s="122"/>
    </row>
    <row r="24">
      <c r="A24" s="137">
        <v>44260.0</v>
      </c>
      <c r="B24" s="131" t="s">
        <v>162</v>
      </c>
      <c r="C24" s="132"/>
      <c r="D24" s="132"/>
      <c r="E24" s="132"/>
      <c r="F24" s="132"/>
      <c r="G24" s="132"/>
      <c r="H24" s="132"/>
      <c r="I24" s="132"/>
      <c r="J24" s="132"/>
      <c r="K24" s="132"/>
      <c r="L24" s="132"/>
      <c r="M24" s="133" t="s">
        <v>72</v>
      </c>
      <c r="N24" s="130">
        <v>400.0</v>
      </c>
      <c r="O24" s="132"/>
      <c r="P24" s="132"/>
      <c r="Q24" s="134"/>
      <c r="R24" s="132"/>
      <c r="S24" s="132"/>
      <c r="T24" s="132"/>
      <c r="U24" s="130">
        <v>400.0</v>
      </c>
      <c r="V24" s="129"/>
      <c r="W24" s="128"/>
      <c r="X24" s="128"/>
      <c r="Y24" s="128"/>
      <c r="Z24" s="129"/>
      <c r="AA24" s="120">
        <f t="shared" si="1"/>
        <v>0</v>
      </c>
      <c r="AB24" s="122"/>
      <c r="AC24" s="122"/>
      <c r="AD24" s="122"/>
    </row>
    <row r="25">
      <c r="A25" s="137">
        <v>44260.0</v>
      </c>
      <c r="B25" s="131" t="s">
        <v>162</v>
      </c>
      <c r="C25" s="132"/>
      <c r="D25" s="132"/>
      <c r="E25" s="132"/>
      <c r="F25" s="132"/>
      <c r="G25" s="132"/>
      <c r="H25" s="132"/>
      <c r="I25" s="132"/>
      <c r="J25" s="132"/>
      <c r="K25" s="132"/>
      <c r="L25" s="132"/>
      <c r="M25" s="133" t="s">
        <v>72</v>
      </c>
      <c r="N25" s="130">
        <v>-400.0</v>
      </c>
      <c r="O25" s="132"/>
      <c r="P25" s="132"/>
      <c r="Q25" s="134"/>
      <c r="R25" s="132"/>
      <c r="S25" s="132"/>
      <c r="T25" s="132"/>
      <c r="U25" s="130">
        <v>-400.0</v>
      </c>
      <c r="V25" s="129"/>
      <c r="W25" s="128"/>
      <c r="X25" s="128"/>
      <c r="Y25" s="128"/>
      <c r="Z25" s="129"/>
      <c r="AA25" s="120">
        <f t="shared" si="1"/>
        <v>0</v>
      </c>
      <c r="AB25" s="122"/>
      <c r="AC25" s="122"/>
      <c r="AD25" s="122"/>
    </row>
    <row r="26">
      <c r="A26" s="130" t="s">
        <v>242</v>
      </c>
      <c r="B26" s="131" t="s">
        <v>243</v>
      </c>
      <c r="C26" s="132"/>
      <c r="D26" s="132"/>
      <c r="E26" s="132"/>
      <c r="F26" s="132"/>
      <c r="G26" s="132"/>
      <c r="H26" s="132"/>
      <c r="I26" s="132"/>
      <c r="J26" s="132"/>
      <c r="K26" s="132"/>
      <c r="L26" s="132"/>
      <c r="M26" s="133" t="s">
        <v>72</v>
      </c>
      <c r="N26" s="130">
        <v>463.0</v>
      </c>
      <c r="O26" s="132"/>
      <c r="P26" s="132"/>
      <c r="Q26" s="134"/>
      <c r="R26" s="132"/>
      <c r="S26" s="132"/>
      <c r="T26" s="132"/>
      <c r="U26" s="130">
        <v>463.0</v>
      </c>
      <c r="V26" s="129"/>
      <c r="W26" s="128"/>
      <c r="X26" s="128"/>
      <c r="Y26" s="128"/>
      <c r="Z26" s="129"/>
      <c r="AA26" s="120">
        <f t="shared" si="1"/>
        <v>0</v>
      </c>
      <c r="AB26" s="122"/>
      <c r="AC26" s="122"/>
      <c r="AD26" s="122"/>
    </row>
    <row r="27">
      <c r="A27" s="130" t="s">
        <v>242</v>
      </c>
      <c r="B27" s="131" t="s">
        <v>244</v>
      </c>
      <c r="C27" s="132"/>
      <c r="D27" s="132"/>
      <c r="E27" s="132"/>
      <c r="F27" s="132"/>
      <c r="G27" s="132"/>
      <c r="H27" s="132"/>
      <c r="I27" s="132"/>
      <c r="J27" s="132"/>
      <c r="K27" s="132"/>
      <c r="L27" s="132"/>
      <c r="M27" s="133" t="s">
        <v>72</v>
      </c>
      <c r="N27" s="130">
        <v>850.0</v>
      </c>
      <c r="O27" s="132"/>
      <c r="P27" s="132"/>
      <c r="Q27" s="132"/>
      <c r="R27" s="132"/>
      <c r="S27" s="132"/>
      <c r="T27" s="132"/>
      <c r="U27" s="130">
        <v>850.0</v>
      </c>
      <c r="V27" s="129"/>
      <c r="W27" s="128"/>
      <c r="X27" s="128"/>
      <c r="Y27" s="128"/>
      <c r="Z27" s="129"/>
      <c r="AA27" s="120">
        <f t="shared" si="1"/>
        <v>0</v>
      </c>
      <c r="AB27" s="121"/>
      <c r="AC27" s="122"/>
      <c r="AD27" s="122"/>
    </row>
    <row r="28">
      <c r="A28" s="130" t="s">
        <v>245</v>
      </c>
      <c r="B28" s="131" t="s">
        <v>246</v>
      </c>
      <c r="C28" s="132"/>
      <c r="D28" s="132"/>
      <c r="E28" s="132"/>
      <c r="F28" s="132"/>
      <c r="G28" s="132"/>
      <c r="H28" s="132"/>
      <c r="I28" s="132"/>
      <c r="J28" s="132"/>
      <c r="K28" s="132"/>
      <c r="L28" s="132"/>
      <c r="M28" s="133" t="s">
        <v>72</v>
      </c>
      <c r="N28" s="130">
        <v>994.0</v>
      </c>
      <c r="O28" s="132"/>
      <c r="P28" s="132"/>
      <c r="Q28" s="132"/>
      <c r="R28" s="132"/>
      <c r="S28" s="132"/>
      <c r="T28" s="132"/>
      <c r="U28" s="130">
        <v>994.0</v>
      </c>
      <c r="V28" s="129"/>
      <c r="W28" s="128"/>
      <c r="X28" s="128"/>
      <c r="Y28" s="128"/>
      <c r="Z28" s="129"/>
      <c r="AA28" s="120">
        <f t="shared" si="1"/>
        <v>0</v>
      </c>
      <c r="AB28" s="121"/>
      <c r="AC28" s="111"/>
      <c r="AD28" s="111"/>
    </row>
    <row r="29">
      <c r="A29" s="130" t="s">
        <v>245</v>
      </c>
      <c r="B29" s="131" t="s">
        <v>247</v>
      </c>
      <c r="C29" s="132"/>
      <c r="D29" s="132"/>
      <c r="E29" s="132"/>
      <c r="F29" s="132"/>
      <c r="G29" s="132"/>
      <c r="H29" s="132"/>
      <c r="I29" s="132"/>
      <c r="J29" s="132"/>
      <c r="K29" s="132"/>
      <c r="L29" s="132"/>
      <c r="M29" s="133" t="s">
        <v>72</v>
      </c>
      <c r="N29" s="130">
        <v>1218.0</v>
      </c>
      <c r="O29" s="132"/>
      <c r="P29" s="132"/>
      <c r="Q29" s="132"/>
      <c r="R29" s="132"/>
      <c r="S29" s="132"/>
      <c r="T29" s="132"/>
      <c r="U29" s="130">
        <v>1218.0</v>
      </c>
      <c r="V29" s="129"/>
      <c r="W29" s="128"/>
      <c r="X29" s="128"/>
      <c r="Y29" s="128"/>
      <c r="Z29" s="129"/>
      <c r="AA29" s="120">
        <f t="shared" si="1"/>
        <v>0</v>
      </c>
      <c r="AB29" s="122"/>
      <c r="AC29" s="122"/>
      <c r="AD29" s="122"/>
    </row>
    <row r="30">
      <c r="A30" s="130" t="s">
        <v>240</v>
      </c>
      <c r="B30" s="133" t="s">
        <v>248</v>
      </c>
      <c r="C30" s="132"/>
      <c r="D30" s="132"/>
      <c r="E30" s="132"/>
      <c r="F30" s="132"/>
      <c r="G30" s="132"/>
      <c r="H30" s="132"/>
      <c r="I30" s="132"/>
      <c r="J30" s="132"/>
      <c r="K30" s="132"/>
      <c r="L30" s="132"/>
      <c r="M30" s="133" t="s">
        <v>72</v>
      </c>
      <c r="N30" s="130">
        <v>3902.0</v>
      </c>
      <c r="O30" s="132"/>
      <c r="P30" s="132"/>
      <c r="Q30" s="132"/>
      <c r="R30" s="132"/>
      <c r="S30" s="132"/>
      <c r="T30" s="132"/>
      <c r="U30" s="130">
        <v>3902.0</v>
      </c>
      <c r="V30" s="129"/>
      <c r="W30" s="128"/>
      <c r="X30" s="128"/>
      <c r="Y30" s="128"/>
      <c r="Z30" s="129"/>
      <c r="AA30" s="120">
        <f t="shared" si="1"/>
        <v>0</v>
      </c>
      <c r="AB30" s="122"/>
      <c r="AC30" s="122"/>
      <c r="AD30" s="122"/>
    </row>
    <row r="31">
      <c r="A31" s="152">
        <v>44347.0</v>
      </c>
      <c r="B31" s="146" t="s">
        <v>93</v>
      </c>
      <c r="C31" s="148"/>
      <c r="D31" s="148"/>
      <c r="E31" s="148"/>
      <c r="F31" s="148"/>
      <c r="G31" s="148"/>
      <c r="H31" s="148"/>
      <c r="I31" s="148"/>
      <c r="J31" s="146">
        <v>-160.0</v>
      </c>
      <c r="K31" s="146">
        <v>160.0</v>
      </c>
      <c r="L31" s="148"/>
      <c r="M31" s="147"/>
      <c r="N31" s="148"/>
      <c r="O31" s="148"/>
      <c r="P31" s="148"/>
      <c r="Q31" s="148"/>
      <c r="R31" s="148"/>
      <c r="S31" s="148"/>
      <c r="T31" s="148"/>
      <c r="U31" s="148"/>
      <c r="V31" s="147"/>
      <c r="W31" s="148"/>
      <c r="X31" s="148"/>
      <c r="Y31" s="148"/>
      <c r="Z31" s="147"/>
      <c r="AA31" s="120">
        <f t="shared" si="1"/>
        <v>0</v>
      </c>
      <c r="AB31" s="122"/>
      <c r="AC31" s="122"/>
      <c r="AD31" s="122"/>
    </row>
    <row r="32">
      <c r="A32" s="152">
        <v>44340.0</v>
      </c>
      <c r="B32" s="146" t="s">
        <v>93</v>
      </c>
      <c r="C32" s="148"/>
      <c r="D32" s="148"/>
      <c r="E32" s="148"/>
      <c r="F32" s="148"/>
      <c r="G32" s="148"/>
      <c r="H32" s="148"/>
      <c r="I32" s="148"/>
      <c r="J32" s="146">
        <v>-160.0</v>
      </c>
      <c r="K32" s="146">
        <v>160.0</v>
      </c>
      <c r="L32" s="148"/>
      <c r="M32" s="147"/>
      <c r="N32" s="148"/>
      <c r="O32" s="148"/>
      <c r="P32" s="148"/>
      <c r="Q32" s="148"/>
      <c r="R32" s="148"/>
      <c r="S32" s="148"/>
      <c r="T32" s="148"/>
      <c r="U32" s="148"/>
      <c r="V32" s="147"/>
      <c r="W32" s="148"/>
      <c r="X32" s="148"/>
      <c r="Y32" s="148"/>
      <c r="Z32" s="147"/>
      <c r="AA32" s="120">
        <f t="shared" si="1"/>
        <v>0</v>
      </c>
      <c r="AB32" s="122"/>
      <c r="AC32" s="122"/>
      <c r="AD32" s="122"/>
    </row>
    <row r="33">
      <c r="A33" s="152">
        <v>44333.0</v>
      </c>
      <c r="B33" s="146" t="s">
        <v>93</v>
      </c>
      <c r="C33" s="148"/>
      <c r="D33" s="148"/>
      <c r="E33" s="148"/>
      <c r="F33" s="148"/>
      <c r="G33" s="148"/>
      <c r="H33" s="148"/>
      <c r="I33" s="148"/>
      <c r="J33" s="146">
        <v>-160.0</v>
      </c>
      <c r="K33" s="146">
        <v>160.0</v>
      </c>
      <c r="L33" s="148"/>
      <c r="M33" s="147"/>
      <c r="N33" s="148"/>
      <c r="O33" s="148"/>
      <c r="P33" s="148"/>
      <c r="Q33" s="148"/>
      <c r="R33" s="148"/>
      <c r="S33" s="148"/>
      <c r="T33" s="148"/>
      <c r="U33" s="148"/>
      <c r="V33" s="147"/>
      <c r="W33" s="148"/>
      <c r="X33" s="148"/>
      <c r="Y33" s="148"/>
      <c r="Z33" s="147"/>
      <c r="AA33" s="120">
        <f t="shared" si="1"/>
        <v>0</v>
      </c>
      <c r="AB33" s="121"/>
      <c r="AC33" s="122"/>
      <c r="AD33" s="122"/>
    </row>
    <row r="34">
      <c r="A34" s="152">
        <v>44326.0</v>
      </c>
      <c r="B34" s="146" t="s">
        <v>93</v>
      </c>
      <c r="C34" s="148"/>
      <c r="D34" s="148"/>
      <c r="E34" s="148"/>
      <c r="F34" s="148"/>
      <c r="G34" s="148"/>
      <c r="H34" s="148"/>
      <c r="I34" s="148"/>
      <c r="J34" s="146">
        <v>-160.0</v>
      </c>
      <c r="K34" s="146">
        <v>160.0</v>
      </c>
      <c r="L34" s="148"/>
      <c r="M34" s="147"/>
      <c r="N34" s="148"/>
      <c r="O34" s="148"/>
      <c r="P34" s="148"/>
      <c r="Q34" s="148"/>
      <c r="R34" s="148"/>
      <c r="S34" s="148"/>
      <c r="T34" s="148"/>
      <c r="U34" s="148"/>
      <c r="V34" s="147"/>
      <c r="W34" s="148"/>
      <c r="X34" s="148"/>
      <c r="Y34" s="148"/>
      <c r="Z34" s="147"/>
      <c r="AA34" s="120">
        <f t="shared" si="1"/>
        <v>0</v>
      </c>
      <c r="AB34" s="121"/>
      <c r="AC34" s="111"/>
      <c r="AD34" s="111"/>
    </row>
    <row r="35">
      <c r="A35" s="152">
        <v>44322.0</v>
      </c>
      <c r="B35" s="146" t="s">
        <v>93</v>
      </c>
      <c r="C35" s="148"/>
      <c r="D35" s="148"/>
      <c r="E35" s="148"/>
      <c r="F35" s="148"/>
      <c r="G35" s="148"/>
      <c r="H35" s="148"/>
      <c r="I35" s="148"/>
      <c r="J35" s="146">
        <v>-160.0</v>
      </c>
      <c r="K35" s="146">
        <v>160.0</v>
      </c>
      <c r="L35" s="148"/>
      <c r="M35" s="147"/>
      <c r="N35" s="148"/>
      <c r="O35" s="148"/>
      <c r="P35" s="148"/>
      <c r="Q35" s="148"/>
      <c r="R35" s="148"/>
      <c r="S35" s="148"/>
      <c r="T35" s="148"/>
      <c r="U35" s="148"/>
      <c r="V35" s="147"/>
      <c r="W35" s="148"/>
      <c r="X35" s="148"/>
      <c r="Y35" s="148"/>
      <c r="Z35" s="147"/>
      <c r="AA35" s="120">
        <f t="shared" si="1"/>
        <v>0</v>
      </c>
      <c r="AB35" s="111"/>
      <c r="AC35" s="111"/>
      <c r="AD35" s="111"/>
    </row>
    <row r="36">
      <c r="A36" s="152">
        <v>44347.0</v>
      </c>
      <c r="B36" s="146" t="s">
        <v>94</v>
      </c>
      <c r="C36" s="148"/>
      <c r="D36" s="148"/>
      <c r="E36" s="148"/>
      <c r="F36" s="148"/>
      <c r="G36" s="148"/>
      <c r="H36" s="148"/>
      <c r="I36" s="148"/>
      <c r="J36" s="146">
        <v>174.4</v>
      </c>
      <c r="K36" s="148"/>
      <c r="L36" s="148"/>
      <c r="M36" s="147"/>
      <c r="N36" s="148"/>
      <c r="O36" s="148"/>
      <c r="P36" s="148"/>
      <c r="Q36" s="148"/>
      <c r="R36" s="148"/>
      <c r="S36" s="148"/>
      <c r="T36" s="148"/>
      <c r="U36" s="148"/>
      <c r="V36" s="147"/>
      <c r="W36" s="148"/>
      <c r="X36" s="148"/>
      <c r="Y36" s="147"/>
      <c r="Z36" s="146">
        <v>174.4</v>
      </c>
      <c r="AA36" s="120">
        <f t="shared" si="1"/>
        <v>0</v>
      </c>
      <c r="AB36" s="122"/>
      <c r="AC36" s="122"/>
      <c r="AD36" s="122"/>
    </row>
    <row r="37">
      <c r="A37" s="152">
        <v>44326.0</v>
      </c>
      <c r="B37" s="146" t="s">
        <v>249</v>
      </c>
      <c r="C37" s="148"/>
      <c r="D37" s="148"/>
      <c r="E37" s="148"/>
      <c r="F37" s="148"/>
      <c r="G37" s="148"/>
      <c r="H37" s="148"/>
      <c r="I37" s="148"/>
      <c r="J37" s="146">
        <v>-2816.32</v>
      </c>
      <c r="K37" s="148"/>
      <c r="L37" s="148"/>
      <c r="M37" s="147"/>
      <c r="N37" s="148"/>
      <c r="O37" s="148"/>
      <c r="P37" s="148"/>
      <c r="Q37" s="148"/>
      <c r="R37" s="148"/>
      <c r="S37" s="148"/>
      <c r="T37" s="146">
        <v>-2816.32</v>
      </c>
      <c r="U37" s="148"/>
      <c r="V37" s="147"/>
      <c r="W37" s="148"/>
      <c r="X37" s="148"/>
      <c r="Y37" s="148"/>
      <c r="Z37" s="147"/>
      <c r="AA37" s="120">
        <f t="shared" si="1"/>
        <v>0</v>
      </c>
      <c r="AB37" s="123"/>
      <c r="AC37" s="122"/>
      <c r="AD37" s="122"/>
    </row>
    <row r="38">
      <c r="A38" s="152">
        <v>44344.0</v>
      </c>
      <c r="B38" s="146" t="s">
        <v>250</v>
      </c>
      <c r="C38" s="148"/>
      <c r="D38" s="148"/>
      <c r="E38" s="148"/>
      <c r="F38" s="148"/>
      <c r="G38" s="148"/>
      <c r="H38" s="148"/>
      <c r="I38" s="148"/>
      <c r="J38" s="158">
        <v>-12261.76</v>
      </c>
      <c r="K38" s="148"/>
      <c r="L38" s="148"/>
      <c r="M38" s="159" t="s">
        <v>79</v>
      </c>
      <c r="N38" s="147"/>
      <c r="O38" s="148"/>
      <c r="P38" s="146">
        <v>12261.76</v>
      </c>
      <c r="Q38" s="148"/>
      <c r="R38" s="148"/>
      <c r="S38" s="148"/>
      <c r="T38" s="147"/>
      <c r="U38" s="148"/>
      <c r="V38" s="147"/>
      <c r="W38" s="148"/>
      <c r="X38" s="148"/>
      <c r="Y38" s="148"/>
      <c r="Z38" s="147"/>
      <c r="AA38" s="120">
        <f t="shared" si="1"/>
        <v>0</v>
      </c>
      <c r="AB38" s="122"/>
      <c r="AC38" s="122"/>
      <c r="AD38" s="122"/>
    </row>
    <row r="39">
      <c r="A39" s="152">
        <v>44341.0</v>
      </c>
      <c r="B39" s="146" t="s">
        <v>251</v>
      </c>
      <c r="C39" s="148"/>
      <c r="D39" s="148"/>
      <c r="E39" s="148"/>
      <c r="F39" s="148"/>
      <c r="G39" s="148"/>
      <c r="H39" s="148"/>
      <c r="I39" s="148"/>
      <c r="J39" s="146">
        <v>2600.32</v>
      </c>
      <c r="K39" s="158">
        <v>-2600.32</v>
      </c>
      <c r="L39" s="148"/>
      <c r="M39" s="147"/>
      <c r="N39" s="147"/>
      <c r="O39" s="148"/>
      <c r="P39" s="148"/>
      <c r="Q39" s="148"/>
      <c r="R39" s="148"/>
      <c r="S39" s="148"/>
      <c r="T39" s="147"/>
      <c r="U39" s="148"/>
      <c r="V39" s="147"/>
      <c r="W39" s="148"/>
      <c r="X39" s="148"/>
      <c r="Y39" s="148"/>
      <c r="Z39" s="147"/>
      <c r="AA39" s="120">
        <f t="shared" si="1"/>
        <v>0</v>
      </c>
      <c r="AB39" s="121"/>
      <c r="AC39" s="122"/>
      <c r="AD39" s="122"/>
    </row>
    <row r="40">
      <c r="A40" s="152">
        <v>44329.0</v>
      </c>
      <c r="B40" s="159" t="s">
        <v>252</v>
      </c>
      <c r="C40" s="148"/>
      <c r="D40" s="148"/>
      <c r="E40" s="148"/>
      <c r="F40" s="148"/>
      <c r="G40" s="148"/>
      <c r="H40" s="148"/>
      <c r="I40" s="148"/>
      <c r="J40" s="158">
        <v>-166.72</v>
      </c>
      <c r="K40" s="148"/>
      <c r="L40" s="148"/>
      <c r="M40" s="159" t="s">
        <v>81</v>
      </c>
      <c r="N40" s="148"/>
      <c r="O40" s="148"/>
      <c r="P40" s="148"/>
      <c r="Q40" s="146">
        <v>166.72</v>
      </c>
      <c r="R40" s="148"/>
      <c r="S40" s="148"/>
      <c r="T40" s="147"/>
      <c r="U40" s="148"/>
      <c r="V40" s="147"/>
      <c r="W40" s="148"/>
      <c r="X40" s="148"/>
      <c r="Y40" s="148"/>
      <c r="Z40" s="147"/>
      <c r="AA40" s="120">
        <f t="shared" si="1"/>
        <v>0</v>
      </c>
      <c r="AB40" s="121"/>
      <c r="AC40" s="122"/>
      <c r="AD40" s="122"/>
    </row>
    <row r="41">
      <c r="A41" s="146">
        <v>3.0</v>
      </c>
      <c r="B41" s="146" t="s">
        <v>200</v>
      </c>
      <c r="C41" s="148"/>
      <c r="D41" s="146">
        <v>-1604.0</v>
      </c>
      <c r="E41" s="148"/>
      <c r="F41" s="148"/>
      <c r="G41" s="148"/>
      <c r="H41" s="148"/>
      <c r="I41" s="148"/>
      <c r="J41" s="148"/>
      <c r="K41" s="148"/>
      <c r="L41" s="148"/>
      <c r="M41" s="146" t="s">
        <v>72</v>
      </c>
      <c r="N41" s="146">
        <v>1604.0</v>
      </c>
      <c r="O41" s="148"/>
      <c r="P41" s="148"/>
      <c r="Q41" s="148"/>
      <c r="R41" s="148"/>
      <c r="S41" s="148"/>
      <c r="T41" s="148"/>
      <c r="U41" s="148"/>
      <c r="V41" s="147"/>
      <c r="W41" s="148"/>
      <c r="X41" s="148"/>
      <c r="Y41" s="148"/>
      <c r="Z41" s="147"/>
      <c r="AA41" s="120">
        <f t="shared" si="1"/>
        <v>0</v>
      </c>
      <c r="AB41" s="122"/>
      <c r="AC41" s="122"/>
      <c r="AD41" s="122"/>
    </row>
    <row r="42">
      <c r="A42" s="146">
        <v>4.0</v>
      </c>
      <c r="B42" s="146" t="s">
        <v>175</v>
      </c>
      <c r="C42" s="148"/>
      <c r="D42" s="146">
        <v>-5069.0</v>
      </c>
      <c r="E42" s="148"/>
      <c r="F42" s="148"/>
      <c r="G42" s="148"/>
      <c r="H42" s="148"/>
      <c r="I42" s="148"/>
      <c r="J42" s="148"/>
      <c r="K42" s="148"/>
      <c r="L42" s="148"/>
      <c r="M42" s="146" t="s">
        <v>72</v>
      </c>
      <c r="N42" s="146">
        <v>5069.0</v>
      </c>
      <c r="O42" s="148"/>
      <c r="P42" s="148"/>
      <c r="Q42" s="148"/>
      <c r="R42" s="148"/>
      <c r="S42" s="148"/>
      <c r="T42" s="148"/>
      <c r="U42" s="148"/>
      <c r="V42" s="147"/>
      <c r="W42" s="148"/>
      <c r="X42" s="148"/>
      <c r="Y42" s="148"/>
      <c r="Z42" s="147"/>
      <c r="AA42" s="120">
        <f t="shared" si="1"/>
        <v>0</v>
      </c>
      <c r="AB42" s="121"/>
      <c r="AC42" s="111"/>
      <c r="AD42" s="111"/>
    </row>
    <row r="43">
      <c r="A43" s="146">
        <v>7.0</v>
      </c>
      <c r="B43" s="146" t="s">
        <v>200</v>
      </c>
      <c r="C43" s="148"/>
      <c r="D43" s="146">
        <v>-9727.0</v>
      </c>
      <c r="E43" s="148"/>
      <c r="F43" s="148"/>
      <c r="G43" s="148"/>
      <c r="H43" s="148"/>
      <c r="I43" s="148"/>
      <c r="J43" s="148"/>
      <c r="K43" s="148"/>
      <c r="L43" s="148"/>
      <c r="M43" s="146" t="s">
        <v>72</v>
      </c>
      <c r="N43" s="146">
        <v>9727.0</v>
      </c>
      <c r="O43" s="148"/>
      <c r="P43" s="148"/>
      <c r="Q43" s="148"/>
      <c r="R43" s="148"/>
      <c r="S43" s="148"/>
      <c r="T43" s="148"/>
      <c r="U43" s="148"/>
      <c r="V43" s="147"/>
      <c r="W43" s="148"/>
      <c r="X43" s="148"/>
      <c r="Y43" s="148"/>
      <c r="Z43" s="147"/>
      <c r="AA43" s="120">
        <f t="shared" si="1"/>
        <v>0</v>
      </c>
      <c r="AB43" s="121"/>
      <c r="AC43" s="111"/>
      <c r="AD43" s="111"/>
    </row>
    <row r="44">
      <c r="A44" s="146">
        <v>15.0</v>
      </c>
      <c r="B44" s="146" t="s">
        <v>175</v>
      </c>
      <c r="C44" s="148"/>
      <c r="D44" s="146">
        <v>-420.0</v>
      </c>
      <c r="E44" s="148"/>
      <c r="F44" s="148"/>
      <c r="G44" s="148"/>
      <c r="H44" s="148"/>
      <c r="I44" s="148"/>
      <c r="J44" s="148"/>
      <c r="K44" s="148"/>
      <c r="L44" s="148"/>
      <c r="M44" s="146" t="s">
        <v>72</v>
      </c>
      <c r="N44" s="146">
        <v>420.0</v>
      </c>
      <c r="O44" s="148"/>
      <c r="P44" s="148"/>
      <c r="Q44" s="148"/>
      <c r="R44" s="148"/>
      <c r="S44" s="148"/>
      <c r="T44" s="148"/>
      <c r="U44" s="148"/>
      <c r="V44" s="147"/>
      <c r="W44" s="148"/>
      <c r="X44" s="148"/>
      <c r="Y44" s="148"/>
      <c r="Z44" s="147"/>
      <c r="AA44" s="120">
        <f t="shared" si="1"/>
        <v>0</v>
      </c>
      <c r="AB44" s="121"/>
      <c r="AC44" s="122"/>
      <c r="AD44" s="122"/>
    </row>
    <row r="45">
      <c r="A45" s="146">
        <v>15.0</v>
      </c>
      <c r="B45" s="146" t="s">
        <v>98</v>
      </c>
      <c r="C45" s="148"/>
      <c r="D45" s="146">
        <v>-167.0</v>
      </c>
      <c r="E45" s="148"/>
      <c r="F45" s="148"/>
      <c r="G45" s="148"/>
      <c r="H45" s="148"/>
      <c r="I45" s="148"/>
      <c r="J45" s="148"/>
      <c r="K45" s="148"/>
      <c r="L45" s="148"/>
      <c r="M45" s="146" t="s">
        <v>72</v>
      </c>
      <c r="N45" s="146">
        <v>167.0</v>
      </c>
      <c r="O45" s="148"/>
      <c r="P45" s="148"/>
      <c r="Q45" s="148"/>
      <c r="R45" s="148"/>
      <c r="S45" s="148"/>
      <c r="T45" s="148"/>
      <c r="U45" s="148"/>
      <c r="V45" s="147"/>
      <c r="W45" s="148"/>
      <c r="X45" s="148"/>
      <c r="Y45" s="148"/>
      <c r="Z45" s="147"/>
      <c r="AA45" s="120">
        <f t="shared" si="1"/>
        <v>0</v>
      </c>
      <c r="AB45" s="111"/>
      <c r="AC45" s="111"/>
      <c r="AD45" s="111"/>
    </row>
    <row r="46">
      <c r="A46" s="146">
        <v>17.0</v>
      </c>
      <c r="B46" s="146" t="s">
        <v>200</v>
      </c>
      <c r="C46" s="148"/>
      <c r="D46" s="146">
        <v>-6122.0</v>
      </c>
      <c r="E46" s="148"/>
      <c r="F46" s="148"/>
      <c r="G46" s="148"/>
      <c r="H46" s="148"/>
      <c r="I46" s="148"/>
      <c r="J46" s="148"/>
      <c r="K46" s="148"/>
      <c r="L46" s="148"/>
      <c r="M46" s="146" t="s">
        <v>72</v>
      </c>
      <c r="N46" s="146">
        <v>6122.0</v>
      </c>
      <c r="O46" s="148"/>
      <c r="P46" s="148"/>
      <c r="Q46" s="148"/>
      <c r="R46" s="148"/>
      <c r="S46" s="148"/>
      <c r="T46" s="148"/>
      <c r="U46" s="148"/>
      <c r="V46" s="147"/>
      <c r="W46" s="148"/>
      <c r="X46" s="148"/>
      <c r="Y46" s="148"/>
      <c r="Z46" s="147"/>
      <c r="AA46" s="120">
        <f t="shared" si="1"/>
        <v>0</v>
      </c>
      <c r="AB46" s="121"/>
      <c r="AC46" s="122"/>
      <c r="AD46" s="122"/>
    </row>
    <row r="47">
      <c r="A47" s="146">
        <v>19.0</v>
      </c>
      <c r="B47" s="146" t="s">
        <v>98</v>
      </c>
      <c r="C47" s="148"/>
      <c r="D47" s="146">
        <v>-7112.0</v>
      </c>
      <c r="E47" s="148"/>
      <c r="F47" s="148"/>
      <c r="G47" s="148"/>
      <c r="H47" s="148"/>
      <c r="I47" s="148"/>
      <c r="J47" s="148"/>
      <c r="K47" s="148"/>
      <c r="L47" s="148"/>
      <c r="M47" s="146" t="s">
        <v>72</v>
      </c>
      <c r="N47" s="146">
        <v>7112.0</v>
      </c>
      <c r="O47" s="148"/>
      <c r="P47" s="148"/>
      <c r="Q47" s="147"/>
      <c r="R47" s="148"/>
      <c r="S47" s="148"/>
      <c r="T47" s="148"/>
      <c r="U47" s="148"/>
      <c r="V47" s="147"/>
      <c r="W47" s="148"/>
      <c r="X47" s="148"/>
      <c r="Y47" s="148"/>
      <c r="Z47" s="147"/>
      <c r="AA47" s="120">
        <f t="shared" si="1"/>
        <v>0</v>
      </c>
      <c r="AB47" s="122"/>
      <c r="AC47" s="122"/>
      <c r="AD47" s="122"/>
    </row>
    <row r="48">
      <c r="A48" s="146">
        <v>23.0</v>
      </c>
      <c r="B48" s="146" t="s">
        <v>200</v>
      </c>
      <c r="C48" s="148"/>
      <c r="D48" s="146">
        <v>-9470.0</v>
      </c>
      <c r="E48" s="148"/>
      <c r="F48" s="148"/>
      <c r="G48" s="148"/>
      <c r="H48" s="148"/>
      <c r="I48" s="148"/>
      <c r="J48" s="148"/>
      <c r="K48" s="148"/>
      <c r="L48" s="148"/>
      <c r="M48" s="146" t="s">
        <v>72</v>
      </c>
      <c r="N48" s="146">
        <v>9470.0</v>
      </c>
      <c r="O48" s="148"/>
      <c r="P48" s="148"/>
      <c r="Q48" s="147"/>
      <c r="R48" s="148"/>
      <c r="S48" s="148"/>
      <c r="T48" s="148"/>
      <c r="U48" s="148"/>
      <c r="V48" s="147"/>
      <c r="W48" s="148"/>
      <c r="X48" s="148"/>
      <c r="Y48" s="148"/>
      <c r="Z48" s="147"/>
      <c r="AA48" s="120">
        <f t="shared" si="1"/>
        <v>0</v>
      </c>
      <c r="AB48" s="121"/>
      <c r="AC48" s="122"/>
      <c r="AD48" s="122"/>
    </row>
    <row r="49">
      <c r="A49" s="146">
        <v>28.0</v>
      </c>
      <c r="B49" s="146" t="s">
        <v>200</v>
      </c>
      <c r="C49" s="148"/>
      <c r="D49" s="146">
        <v>-8142.0</v>
      </c>
      <c r="E49" s="148"/>
      <c r="F49" s="148"/>
      <c r="G49" s="148"/>
      <c r="H49" s="148"/>
      <c r="I49" s="148"/>
      <c r="J49" s="148"/>
      <c r="K49" s="148"/>
      <c r="L49" s="148"/>
      <c r="M49" s="146" t="s">
        <v>72</v>
      </c>
      <c r="N49" s="146">
        <v>8142.0</v>
      </c>
      <c r="O49" s="147"/>
      <c r="P49" s="148"/>
      <c r="Q49" s="148"/>
      <c r="R49" s="148"/>
      <c r="S49" s="148"/>
      <c r="T49" s="148"/>
      <c r="U49" s="148"/>
      <c r="V49" s="147"/>
      <c r="W49" s="148"/>
      <c r="X49" s="148"/>
      <c r="Y49" s="148"/>
      <c r="Z49" s="147"/>
      <c r="AA49" s="120">
        <f t="shared" si="1"/>
        <v>0</v>
      </c>
      <c r="AB49" s="111"/>
      <c r="AC49" s="111"/>
      <c r="AD49" s="111"/>
    </row>
    <row r="50">
      <c r="A50" s="146">
        <v>31.0</v>
      </c>
      <c r="B50" s="146" t="s">
        <v>175</v>
      </c>
      <c r="C50" s="148"/>
      <c r="D50" s="146">
        <v>-1984.0</v>
      </c>
      <c r="E50" s="148"/>
      <c r="F50" s="148"/>
      <c r="G50" s="148"/>
      <c r="H50" s="148"/>
      <c r="I50" s="148"/>
      <c r="J50" s="148"/>
      <c r="K50" s="148"/>
      <c r="L50" s="148"/>
      <c r="M50" s="146" t="s">
        <v>72</v>
      </c>
      <c r="N50" s="146">
        <v>1984.0</v>
      </c>
      <c r="O50" s="147"/>
      <c r="P50" s="148"/>
      <c r="Q50" s="148"/>
      <c r="R50" s="148"/>
      <c r="S50" s="148"/>
      <c r="T50" s="148"/>
      <c r="U50" s="148"/>
      <c r="V50" s="147"/>
      <c r="W50" s="148"/>
      <c r="X50" s="148"/>
      <c r="Y50" s="148"/>
      <c r="Z50" s="147"/>
      <c r="AA50" s="120">
        <f t="shared" si="1"/>
        <v>0</v>
      </c>
      <c r="AB50" s="121"/>
      <c r="AC50" s="122"/>
      <c r="AD50" s="122"/>
    </row>
    <row r="51">
      <c r="A51" s="146">
        <v>14.0</v>
      </c>
      <c r="B51" s="146" t="s">
        <v>200</v>
      </c>
      <c r="C51" s="147"/>
      <c r="D51" s="146">
        <v>-7908.0</v>
      </c>
      <c r="E51" s="148"/>
      <c r="F51" s="148"/>
      <c r="G51" s="148"/>
      <c r="H51" s="148"/>
      <c r="I51" s="148"/>
      <c r="J51" s="148"/>
      <c r="K51" s="148"/>
      <c r="L51" s="148"/>
      <c r="M51" s="147"/>
      <c r="N51" s="146">
        <v>7908.0</v>
      </c>
      <c r="O51" s="148"/>
      <c r="P51" s="148"/>
      <c r="Q51" s="147"/>
      <c r="R51" s="148"/>
      <c r="S51" s="148"/>
      <c r="T51" s="148"/>
      <c r="U51" s="148"/>
      <c r="V51" s="147"/>
      <c r="W51" s="148"/>
      <c r="X51" s="148"/>
      <c r="Y51" s="148"/>
      <c r="Z51" s="147"/>
      <c r="AA51" s="120">
        <f t="shared" si="1"/>
        <v>0</v>
      </c>
      <c r="AB51" s="121"/>
      <c r="AC51" s="111"/>
      <c r="AD51" s="111"/>
    </row>
    <row r="52">
      <c r="A52" s="146">
        <v>12.0</v>
      </c>
      <c r="B52" s="146" t="s">
        <v>200</v>
      </c>
      <c r="C52" s="147"/>
      <c r="D52" s="146">
        <v>-4560.0</v>
      </c>
      <c r="E52" s="148"/>
      <c r="F52" s="148"/>
      <c r="G52" s="148"/>
      <c r="H52" s="148"/>
      <c r="I52" s="148"/>
      <c r="J52" s="148"/>
      <c r="K52" s="148"/>
      <c r="L52" s="148"/>
      <c r="M52" s="147"/>
      <c r="N52" s="146">
        <v>4560.0</v>
      </c>
      <c r="O52" s="148"/>
      <c r="P52" s="148"/>
      <c r="Q52" s="147"/>
      <c r="R52" s="148"/>
      <c r="S52" s="148"/>
      <c r="T52" s="148"/>
      <c r="U52" s="148"/>
      <c r="V52" s="147"/>
      <c r="W52" s="148"/>
      <c r="X52" s="148"/>
      <c r="Y52" s="148"/>
      <c r="Z52" s="147"/>
      <c r="AA52" s="120">
        <f t="shared" si="1"/>
        <v>0</v>
      </c>
      <c r="AB52" s="121"/>
      <c r="AC52" s="111"/>
      <c r="AD52" s="111"/>
    </row>
    <row r="53">
      <c r="A53" s="146">
        <v>31.0</v>
      </c>
      <c r="B53" s="146" t="s">
        <v>175</v>
      </c>
      <c r="C53" s="147"/>
      <c r="D53" s="146">
        <v>-2615.0</v>
      </c>
      <c r="E53" s="148"/>
      <c r="F53" s="148"/>
      <c r="G53" s="148"/>
      <c r="H53" s="148"/>
      <c r="I53" s="148"/>
      <c r="J53" s="148"/>
      <c r="K53" s="148"/>
      <c r="L53" s="148"/>
      <c r="M53" s="147"/>
      <c r="N53" s="146">
        <v>2615.0</v>
      </c>
      <c r="O53" s="148"/>
      <c r="P53" s="148"/>
      <c r="Q53" s="148"/>
      <c r="R53" s="148"/>
      <c r="S53" s="148"/>
      <c r="T53" s="148"/>
      <c r="U53" s="148"/>
      <c r="V53" s="147"/>
      <c r="W53" s="148"/>
      <c r="X53" s="147"/>
      <c r="Y53" s="148"/>
      <c r="Z53" s="147"/>
      <c r="AA53" s="120">
        <f t="shared" si="1"/>
        <v>0</v>
      </c>
      <c r="AB53" s="111"/>
      <c r="AC53" s="111"/>
      <c r="AD53" s="111"/>
    </row>
    <row r="54">
      <c r="A54" s="146">
        <v>15.0</v>
      </c>
      <c r="B54" s="146" t="s">
        <v>99</v>
      </c>
      <c r="C54" s="147"/>
      <c r="D54" s="146">
        <v>-330.0</v>
      </c>
      <c r="E54" s="148"/>
      <c r="F54" s="148"/>
      <c r="G54" s="148"/>
      <c r="H54" s="148"/>
      <c r="I54" s="148"/>
      <c r="J54" s="148"/>
      <c r="K54" s="148"/>
      <c r="L54" s="148"/>
      <c r="M54" s="146" t="s">
        <v>72</v>
      </c>
      <c r="N54" s="148"/>
      <c r="O54" s="148"/>
      <c r="P54" s="148"/>
      <c r="Q54" s="146">
        <v>330.0</v>
      </c>
      <c r="R54" s="148"/>
      <c r="S54" s="148"/>
      <c r="T54" s="148"/>
      <c r="U54" s="148"/>
      <c r="V54" s="147"/>
      <c r="W54" s="148"/>
      <c r="X54" s="148"/>
      <c r="Y54" s="148"/>
      <c r="Z54" s="147"/>
      <c r="AA54" s="120">
        <f t="shared" si="1"/>
        <v>0</v>
      </c>
      <c r="AB54" s="122"/>
      <c r="AC54" s="122"/>
      <c r="AD54" s="122"/>
    </row>
    <row r="55">
      <c r="A55" s="146">
        <v>24.0</v>
      </c>
      <c r="B55" s="146" t="s">
        <v>253</v>
      </c>
      <c r="C55" s="147"/>
      <c r="D55" s="146">
        <v>-3700.0</v>
      </c>
      <c r="E55" s="148"/>
      <c r="F55" s="148"/>
      <c r="G55" s="148"/>
      <c r="H55" s="148"/>
      <c r="I55" s="148"/>
      <c r="J55" s="148"/>
      <c r="K55" s="148"/>
      <c r="L55" s="148"/>
      <c r="M55" s="147"/>
      <c r="N55" s="148"/>
      <c r="O55" s="148"/>
      <c r="P55" s="148"/>
      <c r="Q55" s="146">
        <v>3700.0</v>
      </c>
      <c r="R55" s="148"/>
      <c r="S55" s="148"/>
      <c r="T55" s="148"/>
      <c r="U55" s="147"/>
      <c r="V55" s="147"/>
      <c r="W55" s="148"/>
      <c r="X55" s="148"/>
      <c r="Y55" s="148"/>
      <c r="Z55" s="147"/>
      <c r="AA55" s="120">
        <f t="shared" si="1"/>
        <v>0</v>
      </c>
      <c r="AB55" s="121"/>
      <c r="AC55" s="122"/>
      <c r="AD55" s="122"/>
    </row>
    <row r="56">
      <c r="A56" s="146">
        <v>27.0</v>
      </c>
      <c r="B56" s="146" t="s">
        <v>29</v>
      </c>
      <c r="C56" s="146">
        <v>148000.0</v>
      </c>
      <c r="D56" s="148"/>
      <c r="E56" s="148"/>
      <c r="F56" s="148"/>
      <c r="G56" s="148"/>
      <c r="H56" s="148"/>
      <c r="I56" s="148"/>
      <c r="J56" s="148"/>
      <c r="K56" s="148"/>
      <c r="L56" s="148"/>
      <c r="M56" s="147"/>
      <c r="N56" s="148"/>
      <c r="O56" s="148"/>
      <c r="P56" s="148"/>
      <c r="Q56" s="148"/>
      <c r="R56" s="148"/>
      <c r="S56" s="148"/>
      <c r="T56" s="148"/>
      <c r="U56" s="147"/>
      <c r="V56" s="147"/>
      <c r="W56" s="148"/>
      <c r="X56" s="146">
        <v>148000.0</v>
      </c>
      <c r="Y56" s="148"/>
      <c r="Z56" s="147"/>
      <c r="AA56" s="120">
        <f t="shared" si="1"/>
        <v>0</v>
      </c>
      <c r="AB56" s="122"/>
      <c r="AC56" s="122"/>
      <c r="AD56" s="122"/>
    </row>
    <row r="57">
      <c r="A57" s="146">
        <v>19.0</v>
      </c>
      <c r="B57" s="146" t="s">
        <v>103</v>
      </c>
      <c r="C57" s="146">
        <v>-30000.0</v>
      </c>
      <c r="D57" s="146">
        <v>30000.0</v>
      </c>
      <c r="E57" s="147"/>
      <c r="F57" s="147"/>
      <c r="G57" s="148"/>
      <c r="H57" s="148"/>
      <c r="I57" s="148"/>
      <c r="J57" s="148"/>
      <c r="K57" s="148"/>
      <c r="L57" s="148"/>
      <c r="M57" s="147"/>
      <c r="N57" s="147"/>
      <c r="O57" s="148"/>
      <c r="P57" s="148"/>
      <c r="Q57" s="148"/>
      <c r="R57" s="148"/>
      <c r="S57" s="148"/>
      <c r="T57" s="148"/>
      <c r="U57" s="148"/>
      <c r="V57" s="147"/>
      <c r="W57" s="148"/>
      <c r="X57" s="148"/>
      <c r="Y57" s="148"/>
      <c r="Z57" s="147"/>
      <c r="AA57" s="120">
        <f t="shared" si="1"/>
        <v>0</v>
      </c>
      <c r="AB57" s="122"/>
      <c r="AC57" s="122"/>
      <c r="AD57" s="122"/>
    </row>
    <row r="58">
      <c r="A58" s="146">
        <v>26.0</v>
      </c>
      <c r="B58" s="146" t="s">
        <v>122</v>
      </c>
      <c r="C58" s="146">
        <v>-44795.0</v>
      </c>
      <c r="D58" s="148"/>
      <c r="E58" s="147"/>
      <c r="F58" s="147"/>
      <c r="G58" s="148"/>
      <c r="H58" s="148"/>
      <c r="I58" s="148"/>
      <c r="J58" s="148"/>
      <c r="K58" s="148"/>
      <c r="L58" s="148"/>
      <c r="M58" s="146" t="s">
        <v>81</v>
      </c>
      <c r="N58" s="147"/>
      <c r="O58" s="148"/>
      <c r="P58" s="148"/>
      <c r="Q58" s="148"/>
      <c r="R58" s="148"/>
      <c r="S58" s="148"/>
      <c r="T58" s="148"/>
      <c r="U58" s="146">
        <v>-44795.0</v>
      </c>
      <c r="V58" s="147"/>
      <c r="W58" s="148"/>
      <c r="X58" s="148"/>
      <c r="Y58" s="148"/>
      <c r="Z58" s="147"/>
      <c r="AA58" s="120">
        <f t="shared" si="1"/>
        <v>0</v>
      </c>
      <c r="AB58" s="122"/>
      <c r="AC58" s="122"/>
      <c r="AD58" s="122"/>
    </row>
    <row r="59">
      <c r="A59" s="124"/>
      <c r="B59" s="124" t="s">
        <v>254</v>
      </c>
      <c r="C59" s="122"/>
      <c r="D59" s="124"/>
      <c r="E59" s="122"/>
      <c r="F59" s="122"/>
      <c r="G59" s="122"/>
      <c r="H59" s="122"/>
      <c r="I59" s="122"/>
      <c r="J59" s="122"/>
      <c r="K59" s="122"/>
      <c r="L59" s="124">
        <f>-107*16</f>
        <v>-1712</v>
      </c>
      <c r="M59" s="124" t="s">
        <v>81</v>
      </c>
      <c r="N59" s="124"/>
      <c r="O59" s="122"/>
      <c r="P59" s="124">
        <v>1712.0</v>
      </c>
      <c r="Q59" s="122"/>
      <c r="R59" s="122"/>
      <c r="S59" s="122"/>
      <c r="T59" s="122"/>
      <c r="U59" s="122"/>
      <c r="V59" s="124"/>
      <c r="W59" s="122"/>
      <c r="X59" s="122"/>
      <c r="Y59" s="122"/>
      <c r="Z59" s="124"/>
      <c r="AA59" s="120">
        <f t="shared" si="1"/>
        <v>0</v>
      </c>
      <c r="AB59" s="122"/>
      <c r="AC59" s="122"/>
      <c r="AD59" s="122"/>
    </row>
    <row r="60">
      <c r="A60" s="124"/>
      <c r="B60" s="124" t="s">
        <v>255</v>
      </c>
      <c r="C60" s="122"/>
      <c r="D60" s="124"/>
      <c r="E60" s="122"/>
      <c r="F60" s="122"/>
      <c r="G60" s="122"/>
      <c r="H60" s="122"/>
      <c r="I60" s="122"/>
      <c r="J60" s="122"/>
      <c r="K60" s="122"/>
      <c r="L60" s="124">
        <v>3200.0</v>
      </c>
      <c r="M60" s="124"/>
      <c r="N60" s="122"/>
      <c r="O60" s="122"/>
      <c r="P60" s="122"/>
      <c r="Q60" s="124"/>
      <c r="R60" s="122"/>
      <c r="S60" s="122"/>
      <c r="T60" s="122"/>
      <c r="U60" s="122"/>
      <c r="V60" s="124"/>
      <c r="W60" s="122"/>
      <c r="X60" s="122"/>
      <c r="Y60" s="122"/>
      <c r="Z60" s="124">
        <f>200*16</f>
        <v>3200</v>
      </c>
      <c r="AA60" s="120">
        <f t="shared" si="1"/>
        <v>0</v>
      </c>
      <c r="AB60" s="111"/>
      <c r="AC60" s="111"/>
      <c r="AD60" s="111"/>
    </row>
    <row r="61">
      <c r="A61" s="124"/>
      <c r="B61" s="124" t="s">
        <v>256</v>
      </c>
      <c r="C61" s="122"/>
      <c r="D61" s="122"/>
      <c r="E61" s="122"/>
      <c r="F61" s="122"/>
      <c r="G61" s="122"/>
      <c r="H61" s="122"/>
      <c r="I61" s="122"/>
      <c r="J61" s="122"/>
      <c r="K61" s="122"/>
      <c r="L61" s="122">
        <f>15*16</f>
        <v>240</v>
      </c>
      <c r="M61" s="124"/>
      <c r="N61" s="122"/>
      <c r="O61" s="122"/>
      <c r="P61" s="122"/>
      <c r="Q61" s="122"/>
      <c r="R61" s="122"/>
      <c r="S61" s="122"/>
      <c r="T61" s="122"/>
      <c r="U61" s="122"/>
      <c r="V61" s="124"/>
      <c r="W61" s="122"/>
      <c r="X61" s="122"/>
      <c r="Y61" s="122"/>
      <c r="Z61" s="124">
        <v>240.0</v>
      </c>
      <c r="AA61" s="120">
        <f t="shared" si="1"/>
        <v>0</v>
      </c>
      <c r="AB61" s="122"/>
      <c r="AC61" s="122"/>
      <c r="AD61" s="122"/>
    </row>
    <row r="62">
      <c r="A62" s="124"/>
      <c r="B62" s="124" t="s">
        <v>257</v>
      </c>
      <c r="C62" s="122"/>
      <c r="D62" s="122"/>
      <c r="E62" s="122"/>
      <c r="F62" s="122"/>
      <c r="G62" s="122"/>
      <c r="H62" s="124"/>
      <c r="I62" s="122">
        <f>-3000*16</f>
        <v>-48000</v>
      </c>
      <c r="J62" s="122"/>
      <c r="K62" s="122"/>
      <c r="M62" s="124" t="s">
        <v>79</v>
      </c>
      <c r="N62" s="124"/>
      <c r="O62" s="122"/>
      <c r="P62" s="124">
        <v>48000.0</v>
      </c>
      <c r="Q62" s="122"/>
      <c r="R62" s="122"/>
      <c r="S62" s="122"/>
      <c r="T62" s="122"/>
      <c r="U62" s="122"/>
      <c r="V62" s="124"/>
      <c r="W62" s="122"/>
      <c r="X62" s="122"/>
      <c r="Y62" s="122"/>
      <c r="Z62" s="124"/>
      <c r="AA62" s="120">
        <f t="shared" ref="AA62:AA63" si="2">sum(C62:K62,N62:Q62)-sum(S62:Z62)</f>
        <v>0</v>
      </c>
      <c r="AB62" s="122"/>
      <c r="AC62" s="122"/>
      <c r="AD62" s="122"/>
    </row>
    <row r="63">
      <c r="A63" s="124"/>
      <c r="B63" s="124" t="s">
        <v>258</v>
      </c>
      <c r="C63" s="122"/>
      <c r="D63" s="122"/>
      <c r="E63" s="122"/>
      <c r="F63" s="122"/>
      <c r="G63" s="122"/>
      <c r="H63" s="122"/>
      <c r="I63" s="124">
        <f>-(4699-3000)*16</f>
        <v>-27184</v>
      </c>
      <c r="J63" s="122"/>
      <c r="K63" s="122"/>
      <c r="M63" s="124" t="s">
        <v>81</v>
      </c>
      <c r="N63" s="122"/>
      <c r="O63" s="122"/>
      <c r="P63" s="124">
        <v>27184.0</v>
      </c>
      <c r="Q63" s="122"/>
      <c r="R63" s="122"/>
      <c r="S63" s="122"/>
      <c r="T63" s="122"/>
      <c r="U63" s="122"/>
      <c r="V63" s="124"/>
      <c r="W63" s="122"/>
      <c r="X63" s="122"/>
      <c r="Y63" s="122"/>
      <c r="Z63" s="124"/>
      <c r="AA63" s="120">
        <f t="shared" si="2"/>
        <v>0</v>
      </c>
      <c r="AB63" s="122"/>
      <c r="AC63" s="122"/>
      <c r="AD63" s="122"/>
    </row>
    <row r="64">
      <c r="A64" s="136"/>
      <c r="B64" s="127" t="s">
        <v>175</v>
      </c>
      <c r="C64" s="128"/>
      <c r="D64" s="127">
        <v>-2580.0</v>
      </c>
      <c r="E64" s="128"/>
      <c r="F64" s="128"/>
      <c r="G64" s="128"/>
      <c r="H64" s="128"/>
      <c r="I64" s="128"/>
      <c r="J64" s="128"/>
      <c r="K64" s="128"/>
      <c r="L64" s="128"/>
      <c r="M64" s="127" t="s">
        <v>72</v>
      </c>
      <c r="N64" s="127">
        <v>2580.0</v>
      </c>
      <c r="O64" s="128"/>
      <c r="P64" s="128"/>
      <c r="Q64" s="128"/>
      <c r="R64" s="128"/>
      <c r="S64" s="128"/>
      <c r="T64" s="128"/>
      <c r="U64" s="127"/>
      <c r="V64" s="129"/>
      <c r="W64" s="128"/>
      <c r="X64" s="128"/>
      <c r="Y64" s="128"/>
      <c r="Z64" s="129"/>
      <c r="AA64" s="120">
        <f t="shared" ref="AA64:AA76" si="3">sum(C64:L64,N64:Q64)-sum(S64:Z64)</f>
        <v>0</v>
      </c>
      <c r="AB64" s="122"/>
      <c r="AC64" s="122"/>
      <c r="AD64" s="122"/>
    </row>
    <row r="65">
      <c r="A65" s="136"/>
      <c r="B65" s="127" t="s">
        <v>175</v>
      </c>
      <c r="C65" s="128"/>
      <c r="D65" s="127">
        <v>-800.0</v>
      </c>
      <c r="E65" s="128"/>
      <c r="F65" s="128"/>
      <c r="G65" s="128"/>
      <c r="H65" s="128"/>
      <c r="I65" s="128"/>
      <c r="J65" s="128"/>
      <c r="K65" s="128"/>
      <c r="L65" s="128"/>
      <c r="M65" s="127" t="s">
        <v>72</v>
      </c>
      <c r="N65" s="127">
        <v>800.0</v>
      </c>
      <c r="O65" s="128"/>
      <c r="P65" s="128"/>
      <c r="Q65" s="128"/>
      <c r="R65" s="128"/>
      <c r="S65" s="128"/>
      <c r="T65" s="128"/>
      <c r="U65" s="127"/>
      <c r="V65" s="129"/>
      <c r="W65" s="128"/>
      <c r="X65" s="128"/>
      <c r="Y65" s="128"/>
      <c r="Z65" s="129"/>
      <c r="AA65" s="120">
        <f t="shared" si="3"/>
        <v>0</v>
      </c>
      <c r="AB65" s="122"/>
      <c r="AC65" s="122"/>
      <c r="AD65" s="122"/>
    </row>
    <row r="66">
      <c r="A66" s="125">
        <v>24.0</v>
      </c>
      <c r="B66" s="125" t="s">
        <v>259</v>
      </c>
      <c r="C66" s="143"/>
      <c r="D66" s="143"/>
      <c r="E66" s="122"/>
      <c r="F66" s="122"/>
      <c r="G66" s="122"/>
      <c r="H66" s="122"/>
      <c r="I66" s="122">
        <f>800*16</f>
        <v>12800</v>
      </c>
      <c r="J66" s="122"/>
      <c r="K66" s="122"/>
      <c r="L66" s="122"/>
      <c r="M66" s="124"/>
      <c r="N66" s="122"/>
      <c r="O66" s="122"/>
      <c r="P66" s="122"/>
      <c r="Q66" s="122"/>
      <c r="R66" s="122"/>
      <c r="S66" s="122"/>
      <c r="T66" s="122"/>
      <c r="U66" s="122"/>
      <c r="V66" s="124"/>
      <c r="W66" s="122"/>
      <c r="X66" s="122"/>
      <c r="Y66" s="122"/>
      <c r="Z66" s="124">
        <v>12800.0</v>
      </c>
      <c r="AA66" s="120">
        <f t="shared" si="3"/>
        <v>0</v>
      </c>
      <c r="AB66" s="122"/>
      <c r="AC66" s="122"/>
      <c r="AD66" s="122"/>
    </row>
    <row r="67">
      <c r="A67" s="125">
        <v>12.0</v>
      </c>
      <c r="B67" s="125" t="s">
        <v>104</v>
      </c>
      <c r="C67" s="143"/>
      <c r="D67" s="143"/>
      <c r="E67" s="122"/>
      <c r="F67" s="122"/>
      <c r="G67" s="122"/>
      <c r="H67" s="122"/>
      <c r="I67" s="122">
        <f>9000*16</f>
        <v>144000</v>
      </c>
      <c r="J67" s="122"/>
      <c r="K67" s="122"/>
      <c r="L67" s="122"/>
      <c r="M67" s="124"/>
      <c r="N67" s="122"/>
      <c r="O67" s="122"/>
      <c r="P67" s="122"/>
      <c r="Q67" s="122"/>
      <c r="R67" s="122"/>
      <c r="S67" s="122"/>
      <c r="T67" s="122"/>
      <c r="U67" s="122"/>
      <c r="V67" s="124"/>
      <c r="W67" s="122"/>
      <c r="X67" s="122"/>
      <c r="Y67" s="122"/>
      <c r="Z67" s="124">
        <v>144000.0</v>
      </c>
      <c r="AA67" s="120">
        <f t="shared" si="3"/>
        <v>0</v>
      </c>
      <c r="AB67" s="122"/>
      <c r="AC67" s="122"/>
      <c r="AD67" s="122"/>
    </row>
    <row r="68">
      <c r="A68" s="153"/>
      <c r="B68" s="125"/>
      <c r="C68" s="143"/>
      <c r="D68" s="143"/>
      <c r="E68" s="122"/>
      <c r="F68" s="122"/>
      <c r="G68" s="122"/>
      <c r="H68" s="122"/>
      <c r="I68" s="122"/>
      <c r="J68" s="122"/>
      <c r="K68" s="122"/>
      <c r="L68" s="122"/>
      <c r="M68" s="124"/>
      <c r="N68" s="122"/>
      <c r="O68" s="122"/>
      <c r="P68" s="122"/>
      <c r="Q68" s="122"/>
      <c r="R68" s="122"/>
      <c r="S68" s="122"/>
      <c r="T68" s="122"/>
      <c r="U68" s="122"/>
      <c r="V68" s="124"/>
      <c r="W68" s="122"/>
      <c r="X68" s="122"/>
      <c r="Y68" s="122"/>
      <c r="Z68" s="124"/>
      <c r="AA68" s="120">
        <f t="shared" si="3"/>
        <v>0</v>
      </c>
      <c r="AB68" s="122"/>
      <c r="AC68" s="122"/>
      <c r="AD68" s="122"/>
    </row>
    <row r="69">
      <c r="A69" s="153"/>
      <c r="B69" s="125"/>
      <c r="C69" s="143"/>
      <c r="D69" s="143"/>
      <c r="E69" s="122"/>
      <c r="F69" s="122"/>
      <c r="G69" s="122"/>
      <c r="H69" s="122"/>
      <c r="I69" s="122"/>
      <c r="J69" s="122"/>
      <c r="K69" s="122"/>
      <c r="L69" s="122"/>
      <c r="M69" s="124"/>
      <c r="N69" s="122"/>
      <c r="O69" s="122"/>
      <c r="P69" s="122"/>
      <c r="Q69" s="122"/>
      <c r="R69" s="122"/>
      <c r="S69" s="122"/>
      <c r="T69" s="122"/>
      <c r="U69" s="122"/>
      <c r="V69" s="124"/>
      <c r="W69" s="122"/>
      <c r="X69" s="122"/>
      <c r="Y69" s="122"/>
      <c r="Z69" s="124"/>
      <c r="AA69" s="120">
        <f t="shared" si="3"/>
        <v>0</v>
      </c>
      <c r="AB69" s="122"/>
      <c r="AC69" s="122"/>
      <c r="AD69" s="122"/>
    </row>
    <row r="70">
      <c r="A70" s="153"/>
      <c r="B70" s="125"/>
      <c r="C70" s="143"/>
      <c r="D70" s="143"/>
      <c r="E70" s="122"/>
      <c r="F70" s="122"/>
      <c r="G70" s="122"/>
      <c r="H70" s="122"/>
      <c r="I70" s="122"/>
      <c r="J70" s="122"/>
      <c r="K70" s="122"/>
      <c r="L70" s="122"/>
      <c r="M70" s="124"/>
      <c r="N70" s="122"/>
      <c r="O70" s="122"/>
      <c r="P70" s="122"/>
      <c r="Q70" s="122"/>
      <c r="R70" s="122"/>
      <c r="S70" s="122"/>
      <c r="T70" s="122"/>
      <c r="U70" s="122"/>
      <c r="V70" s="124"/>
      <c r="W70" s="122"/>
      <c r="X70" s="122"/>
      <c r="Y70" s="122"/>
      <c r="Z70" s="124"/>
      <c r="AA70" s="120">
        <f t="shared" si="3"/>
        <v>0</v>
      </c>
      <c r="AB70" s="122"/>
      <c r="AC70" s="122"/>
      <c r="AD70" s="122"/>
    </row>
    <row r="71">
      <c r="A71" s="153"/>
      <c r="B71" s="125"/>
      <c r="C71" s="143"/>
      <c r="D71" s="143"/>
      <c r="E71" s="122"/>
      <c r="F71" s="122"/>
      <c r="G71" s="122"/>
      <c r="H71" s="122"/>
      <c r="I71" s="122"/>
      <c r="J71" s="122"/>
      <c r="K71" s="122"/>
      <c r="L71" s="122"/>
      <c r="M71" s="124"/>
      <c r="N71" s="122"/>
      <c r="O71" s="122"/>
      <c r="P71" s="122"/>
      <c r="Q71" s="122"/>
      <c r="R71" s="122"/>
      <c r="S71" s="122"/>
      <c r="T71" s="122"/>
      <c r="U71" s="122"/>
      <c r="V71" s="124"/>
      <c r="W71" s="122"/>
      <c r="X71" s="122"/>
      <c r="Y71" s="122"/>
      <c r="Z71" s="124"/>
      <c r="AA71" s="120">
        <f t="shared" si="3"/>
        <v>0</v>
      </c>
      <c r="AB71" s="122"/>
      <c r="AC71" s="122"/>
      <c r="AD71" s="122"/>
    </row>
    <row r="72">
      <c r="A72" s="153"/>
      <c r="B72" s="125"/>
      <c r="C72" s="143"/>
      <c r="D72" s="143"/>
      <c r="E72" s="122"/>
      <c r="F72" s="122"/>
      <c r="G72" s="122"/>
      <c r="H72" s="122"/>
      <c r="I72" s="122"/>
      <c r="J72" s="122"/>
      <c r="K72" s="122"/>
      <c r="L72" s="122"/>
      <c r="M72" s="124"/>
      <c r="N72" s="122"/>
      <c r="O72" s="122"/>
      <c r="P72" s="122"/>
      <c r="Q72" s="122"/>
      <c r="R72" s="122"/>
      <c r="S72" s="122"/>
      <c r="T72" s="122"/>
      <c r="U72" s="122"/>
      <c r="V72" s="124"/>
      <c r="W72" s="122"/>
      <c r="X72" s="122"/>
      <c r="Y72" s="122"/>
      <c r="Z72" s="124"/>
      <c r="AA72" s="120">
        <f t="shared" si="3"/>
        <v>0</v>
      </c>
      <c r="AB72" s="122"/>
      <c r="AC72" s="122"/>
      <c r="AD72" s="122"/>
    </row>
    <row r="73">
      <c r="A73" s="153"/>
      <c r="B73" s="125"/>
      <c r="C73" s="143"/>
      <c r="D73" s="143"/>
      <c r="E73" s="122"/>
      <c r="F73" s="122"/>
      <c r="G73" s="122"/>
      <c r="H73" s="122"/>
      <c r="I73" s="122"/>
      <c r="J73" s="122"/>
      <c r="K73" s="122"/>
      <c r="L73" s="122"/>
      <c r="M73" s="124"/>
      <c r="N73" s="122"/>
      <c r="O73" s="122"/>
      <c r="P73" s="122"/>
      <c r="Q73" s="122"/>
      <c r="R73" s="122"/>
      <c r="S73" s="122"/>
      <c r="T73" s="122"/>
      <c r="U73" s="122"/>
      <c r="V73" s="124"/>
      <c r="W73" s="122"/>
      <c r="X73" s="122"/>
      <c r="Y73" s="122"/>
      <c r="Z73" s="124"/>
      <c r="AA73" s="120">
        <f t="shared" si="3"/>
        <v>0</v>
      </c>
      <c r="AB73" s="122"/>
      <c r="AC73" s="122"/>
      <c r="AD73" s="122"/>
    </row>
    <row r="74">
      <c r="A74" s="153"/>
      <c r="B74" s="125"/>
      <c r="C74" s="143"/>
      <c r="D74" s="143"/>
      <c r="E74" s="122"/>
      <c r="F74" s="122"/>
      <c r="G74" s="122"/>
      <c r="H74" s="122"/>
      <c r="I74" s="122"/>
      <c r="J74" s="122"/>
      <c r="K74" s="122"/>
      <c r="L74" s="122"/>
      <c r="M74" s="124"/>
      <c r="N74" s="122"/>
      <c r="O74" s="122"/>
      <c r="P74" s="122"/>
      <c r="Q74" s="122"/>
      <c r="R74" s="122"/>
      <c r="S74" s="122"/>
      <c r="T74" s="122"/>
      <c r="U74" s="122"/>
      <c r="V74" s="124"/>
      <c r="W74" s="122"/>
      <c r="X74" s="122"/>
      <c r="Y74" s="122"/>
      <c r="Z74" s="124"/>
      <c r="AA74" s="120">
        <f t="shared" si="3"/>
        <v>0</v>
      </c>
      <c r="AB74" s="122"/>
      <c r="AC74" s="122"/>
      <c r="AD74" s="122"/>
    </row>
    <row r="75">
      <c r="A75" s="153"/>
      <c r="B75" s="125"/>
      <c r="C75" s="143"/>
      <c r="D75" s="143"/>
      <c r="E75" s="122"/>
      <c r="F75" s="122"/>
      <c r="G75" s="122"/>
      <c r="H75" s="122"/>
      <c r="I75" s="122"/>
      <c r="J75" s="122"/>
      <c r="K75" s="122"/>
      <c r="L75" s="122"/>
      <c r="M75" s="124"/>
      <c r="N75" s="122"/>
      <c r="O75" s="122"/>
      <c r="P75" s="122"/>
      <c r="Q75" s="122"/>
      <c r="R75" s="122"/>
      <c r="S75" s="122"/>
      <c r="T75" s="122"/>
      <c r="U75" s="122"/>
      <c r="V75" s="124"/>
      <c r="W75" s="122"/>
      <c r="X75" s="122"/>
      <c r="Y75" s="122"/>
      <c r="Z75" s="124"/>
      <c r="AA75" s="120">
        <f t="shared" si="3"/>
        <v>0</v>
      </c>
      <c r="AB75" s="122"/>
      <c r="AC75" s="122"/>
      <c r="AD75" s="122"/>
    </row>
    <row r="76">
      <c r="A76" s="153"/>
      <c r="B76" s="125"/>
      <c r="C76" s="143"/>
      <c r="D76" s="143"/>
      <c r="E76" s="122"/>
      <c r="F76" s="122"/>
      <c r="G76" s="122"/>
      <c r="H76" s="122"/>
      <c r="I76" s="122"/>
      <c r="J76" s="122"/>
      <c r="K76" s="122"/>
      <c r="L76" s="122"/>
      <c r="M76" s="124"/>
      <c r="N76" s="122"/>
      <c r="O76" s="122"/>
      <c r="P76" s="122"/>
      <c r="Q76" s="122"/>
      <c r="R76" s="122"/>
      <c r="S76" s="122"/>
      <c r="T76" s="122"/>
      <c r="U76" s="122"/>
      <c r="V76" s="124"/>
      <c r="W76" s="122"/>
      <c r="X76" s="122"/>
      <c r="Y76" s="122"/>
      <c r="Z76" s="124"/>
      <c r="AA76" s="120">
        <f t="shared" si="3"/>
        <v>0</v>
      </c>
      <c r="AB76" s="122"/>
      <c r="AC76" s="122"/>
      <c r="AD76" s="122"/>
    </row>
    <row r="77">
      <c r="A77" s="153"/>
      <c r="B77" s="125"/>
      <c r="C77" s="143"/>
      <c r="D77" s="143"/>
      <c r="E77" s="122"/>
      <c r="F77" s="122"/>
      <c r="G77" s="122"/>
      <c r="H77" s="122"/>
      <c r="I77" s="122"/>
      <c r="J77" s="122"/>
      <c r="K77" s="122"/>
      <c r="L77" s="122"/>
      <c r="M77" s="124"/>
      <c r="N77" s="122"/>
      <c r="O77" s="122"/>
      <c r="P77" s="122"/>
      <c r="Q77" s="122"/>
      <c r="R77" s="122"/>
      <c r="S77" s="122"/>
      <c r="T77" s="122"/>
      <c r="U77" s="122"/>
      <c r="V77" s="124"/>
      <c r="W77" s="122"/>
      <c r="X77" s="122"/>
      <c r="Y77" s="122"/>
      <c r="Z77" s="124"/>
      <c r="AA77" s="124"/>
      <c r="AB77" s="122"/>
      <c r="AC77" s="122"/>
      <c r="AD77" s="122"/>
    </row>
    <row r="78">
      <c r="A78" s="154"/>
      <c r="B78" s="126"/>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c r="AC78" s="122"/>
      <c r="AD78" s="122"/>
    </row>
    <row r="79">
      <c r="A79" s="154"/>
      <c r="B79" s="126"/>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row>
    <row r="80">
      <c r="A80" s="154"/>
      <c r="B80" s="126"/>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c r="AD80" s="122"/>
    </row>
    <row r="81">
      <c r="A81" s="154"/>
      <c r="B81" s="126"/>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2"/>
      <c r="AC81" s="122"/>
      <c r="AD81" s="122"/>
    </row>
    <row r="82">
      <c r="A82" s="154"/>
      <c r="B82" s="126"/>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c r="AC82" s="122"/>
      <c r="AD82" s="122"/>
    </row>
    <row r="83">
      <c r="A83" s="154"/>
      <c r="B83" s="126"/>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row>
    <row r="84">
      <c r="A84" s="154"/>
      <c r="B84" s="126"/>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row>
    <row r="85">
      <c r="A85" s="154"/>
      <c r="B85" s="126"/>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row>
    <row r="86">
      <c r="A86" s="154"/>
      <c r="B86" s="126"/>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row>
    <row r="87">
      <c r="A87" s="154"/>
      <c r="B87" s="126"/>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row>
    <row r="88">
      <c r="A88" s="154"/>
      <c r="B88" s="126"/>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row>
    <row r="89">
      <c r="A89" s="154"/>
      <c r="B89" s="126"/>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row>
    <row r="90">
      <c r="A90" s="154"/>
      <c r="B90" s="126"/>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row>
    <row r="91">
      <c r="A91" s="154"/>
      <c r="B91" s="126"/>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row>
    <row r="92">
      <c r="A92" s="154"/>
      <c r="B92" s="126"/>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row>
    <row r="93">
      <c r="A93" s="154"/>
      <c r="B93" s="126"/>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row>
    <row r="94">
      <c r="A94" s="154"/>
      <c r="B94" s="126"/>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row>
    <row r="95">
      <c r="A95" s="154"/>
      <c r="B95" s="126"/>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row>
    <row r="96">
      <c r="A96" s="154"/>
      <c r="B96" s="126"/>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row>
    <row r="97">
      <c r="A97" s="154"/>
      <c r="B97" s="126"/>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c r="AD97" s="122"/>
    </row>
    <row r="98">
      <c r="A98" s="154"/>
      <c r="B98" s="126"/>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row>
    <row r="99">
      <c r="A99" s="154"/>
      <c r="B99" s="126"/>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row>
    <row r="100">
      <c r="A100" s="154"/>
      <c r="B100" s="126"/>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row>
    <row r="101">
      <c r="A101" s="154"/>
      <c r="B101" s="126"/>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2"/>
    </row>
    <row r="102">
      <c r="A102" s="154"/>
      <c r="B102" s="126"/>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c r="AD102" s="122"/>
    </row>
    <row r="103">
      <c r="A103" s="154"/>
      <c r="B103" s="126"/>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row>
    <row r="104">
      <c r="A104" s="154"/>
      <c r="B104" s="126"/>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row>
    <row r="105">
      <c r="A105" s="154"/>
      <c r="B105" s="126"/>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row>
    <row r="106">
      <c r="A106" s="154"/>
      <c r="B106" s="126"/>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c r="AD106" s="122"/>
    </row>
    <row r="107">
      <c r="A107" s="154"/>
      <c r="B107" s="126"/>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2"/>
    </row>
    <row r="108">
      <c r="A108" s="154"/>
      <c r="B108" s="126"/>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row>
    <row r="109">
      <c r="A109" s="154"/>
      <c r="B109" s="126"/>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c r="AD109" s="122"/>
    </row>
    <row r="110">
      <c r="A110" s="154"/>
      <c r="B110" s="126"/>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row>
    <row r="111">
      <c r="A111" s="154"/>
      <c r="B111" s="126"/>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c r="AD111" s="122"/>
    </row>
    <row r="112">
      <c r="A112" s="154"/>
      <c r="B112" s="126"/>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c r="AD112" s="122"/>
    </row>
    <row r="113">
      <c r="A113" s="154"/>
      <c r="B113" s="126"/>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row>
    <row r="114">
      <c r="A114" s="154"/>
      <c r="B114" s="126"/>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row>
    <row r="115">
      <c r="A115" s="154"/>
      <c r="B115" s="126"/>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row>
    <row r="116">
      <c r="A116" s="154"/>
      <c r="B116" s="126"/>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c r="AD116" s="122"/>
    </row>
    <row r="117">
      <c r="A117" s="154"/>
      <c r="B117" s="126"/>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2"/>
    </row>
    <row r="118">
      <c r="A118" s="154"/>
      <c r="B118" s="126"/>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c r="AD118" s="122"/>
    </row>
    <row r="119">
      <c r="A119" s="154"/>
      <c r="B119" s="126"/>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c r="AD119" s="122"/>
    </row>
    <row r="120">
      <c r="A120" s="154"/>
      <c r="B120" s="126"/>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row>
    <row r="121">
      <c r="A121" s="154"/>
      <c r="B121" s="126"/>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c r="AD121" s="122"/>
    </row>
    <row r="122">
      <c r="A122" s="154"/>
      <c r="B122" s="126"/>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c r="AD122" s="122"/>
    </row>
    <row r="123">
      <c r="A123" s="154"/>
      <c r="B123" s="126"/>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c r="AD123" s="122"/>
    </row>
    <row r="124">
      <c r="A124" s="154"/>
      <c r="B124" s="126"/>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row>
    <row r="125">
      <c r="A125" s="154"/>
      <c r="B125" s="126"/>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row>
    <row r="126">
      <c r="A126" s="154"/>
      <c r="B126" s="126"/>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c r="AD126" s="122"/>
    </row>
    <row r="127">
      <c r="A127" s="154"/>
      <c r="B127" s="126"/>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c r="AD127" s="122"/>
    </row>
    <row r="128">
      <c r="A128" s="154"/>
      <c r="B128" s="126"/>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c r="AD128" s="122"/>
    </row>
    <row r="129">
      <c r="A129" s="154"/>
      <c r="B129" s="126"/>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row>
    <row r="130">
      <c r="A130" s="154"/>
      <c r="B130" s="126"/>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row>
    <row r="131">
      <c r="A131" s="154"/>
      <c r="B131" s="126"/>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row>
    <row r="132">
      <c r="A132" s="154"/>
      <c r="B132" s="126"/>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c r="AD132" s="122"/>
    </row>
    <row r="133">
      <c r="A133" s="154"/>
      <c r="B133" s="126"/>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c r="AD133" s="122"/>
    </row>
    <row r="134">
      <c r="A134" s="154"/>
      <c r="B134" s="126"/>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c r="AD134" s="122"/>
    </row>
    <row r="135">
      <c r="A135" s="154"/>
      <c r="B135" s="126"/>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c r="AD135" s="122"/>
    </row>
    <row r="136">
      <c r="A136" s="154"/>
      <c r="B136" s="126"/>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2"/>
    </row>
    <row r="137">
      <c r="A137" s="154"/>
      <c r="B137" s="126"/>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c r="AD137" s="122"/>
    </row>
    <row r="138">
      <c r="A138" s="154"/>
      <c r="B138" s="126"/>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2"/>
    </row>
    <row r="139">
      <c r="A139" s="154"/>
      <c r="B139" s="126"/>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row>
    <row r="140">
      <c r="A140" s="154"/>
      <c r="B140" s="126"/>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2"/>
    </row>
    <row r="141">
      <c r="A141" s="154"/>
      <c r="B141" s="126"/>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row>
    <row r="142">
      <c r="A142" s="154"/>
      <c r="B142" s="126"/>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2"/>
    </row>
    <row r="143">
      <c r="A143" s="154"/>
      <c r="B143" s="126"/>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2"/>
    </row>
    <row r="144">
      <c r="A144" s="154"/>
      <c r="B144" s="126"/>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2"/>
    </row>
    <row r="145">
      <c r="A145" s="154"/>
      <c r="B145" s="126"/>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2"/>
    </row>
    <row r="146">
      <c r="A146" s="154"/>
      <c r="B146" s="126"/>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row>
    <row r="147">
      <c r="A147" s="154"/>
      <c r="B147" s="126"/>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row>
    <row r="148">
      <c r="A148" s="154"/>
      <c r="B148" s="126"/>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2"/>
    </row>
    <row r="149">
      <c r="A149" s="154"/>
      <c r="B149" s="126"/>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2"/>
    </row>
    <row r="150">
      <c r="A150" s="154"/>
      <c r="B150" s="126"/>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row>
    <row r="151">
      <c r="A151" s="154"/>
      <c r="B151" s="126"/>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row>
    <row r="152">
      <c r="A152" s="154"/>
      <c r="B152" s="126"/>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row>
    <row r="153">
      <c r="A153" s="154"/>
      <c r="B153" s="126"/>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c r="AD153" s="122"/>
    </row>
    <row r="154">
      <c r="A154" s="154"/>
      <c r="B154" s="126"/>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2"/>
    </row>
    <row r="155">
      <c r="A155" s="154"/>
      <c r="B155" s="126"/>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c r="AD155" s="122"/>
    </row>
    <row r="156">
      <c r="A156" s="154"/>
      <c r="B156" s="126"/>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c r="AD156" s="122"/>
    </row>
    <row r="157">
      <c r="A157" s="154"/>
      <c r="B157" s="126"/>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c r="AD157" s="122"/>
    </row>
    <row r="158">
      <c r="A158" s="154"/>
      <c r="B158" s="126"/>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c r="AD158" s="122"/>
    </row>
    <row r="159">
      <c r="A159" s="154"/>
      <c r="B159" s="126"/>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c r="AD159" s="122"/>
    </row>
    <row r="160">
      <c r="A160" s="154"/>
      <c r="B160" s="126"/>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row>
    <row r="161">
      <c r="A161" s="154"/>
      <c r="B161" s="126"/>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row>
    <row r="162">
      <c r="A162" s="154"/>
      <c r="B162" s="126"/>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c r="AD162" s="122"/>
    </row>
    <row r="163">
      <c r="A163" s="154"/>
      <c r="B163" s="126"/>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c r="AD163" s="122"/>
    </row>
    <row r="164">
      <c r="A164" s="154"/>
      <c r="B164" s="126"/>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c r="AD164" s="122"/>
    </row>
    <row r="165">
      <c r="A165" s="154"/>
      <c r="B165" s="126"/>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c r="AD165" s="122"/>
    </row>
    <row r="166">
      <c r="A166" s="154"/>
      <c r="B166" s="126"/>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2"/>
    </row>
    <row r="167">
      <c r="A167" s="154"/>
      <c r="B167" s="126"/>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c r="AD167" s="122"/>
    </row>
    <row r="168">
      <c r="A168" s="154"/>
      <c r="B168" s="126"/>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c r="AD168" s="122"/>
    </row>
    <row r="169">
      <c r="A169" s="154"/>
      <c r="B169" s="126"/>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c r="AD169" s="122"/>
    </row>
    <row r="170">
      <c r="A170" s="154"/>
      <c r="B170" s="126"/>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c r="AD170" s="122"/>
    </row>
    <row r="171">
      <c r="A171" s="154"/>
      <c r="B171" s="126"/>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c r="AD171" s="122"/>
    </row>
    <row r="172">
      <c r="A172" s="154"/>
      <c r="B172" s="126"/>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c r="AD172" s="122"/>
    </row>
    <row r="173">
      <c r="A173" s="154"/>
      <c r="B173" s="126"/>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c r="AD173" s="122"/>
    </row>
    <row r="174">
      <c r="A174" s="154"/>
      <c r="B174" s="126"/>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c r="AD174" s="122"/>
    </row>
    <row r="175">
      <c r="A175" s="154"/>
      <c r="B175" s="126"/>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c r="AD175" s="122"/>
    </row>
    <row r="176">
      <c r="A176" s="154"/>
      <c r="B176" s="126"/>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c r="AD176" s="122"/>
    </row>
    <row r="177">
      <c r="A177" s="154"/>
      <c r="B177" s="126"/>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row>
    <row r="178">
      <c r="A178" s="154"/>
      <c r="B178" s="126"/>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c r="AD178" s="122"/>
    </row>
    <row r="179">
      <c r="A179" s="154"/>
      <c r="B179" s="126"/>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row>
    <row r="180">
      <c r="A180" s="154"/>
      <c r="B180" s="126"/>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row>
    <row r="181">
      <c r="A181" s="154"/>
      <c r="B181" s="126"/>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row>
    <row r="182">
      <c r="A182" s="154"/>
      <c r="B182" s="126"/>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row>
    <row r="183">
      <c r="A183" s="154"/>
      <c r="B183" s="126"/>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row>
    <row r="184">
      <c r="A184" s="154"/>
      <c r="B184" s="126"/>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row>
    <row r="185">
      <c r="A185" s="154"/>
      <c r="B185" s="126"/>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row>
    <row r="186">
      <c r="A186" s="154"/>
      <c r="B186" s="126"/>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row>
    <row r="187">
      <c r="A187" s="154"/>
      <c r="B187" s="126"/>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c r="AD187" s="122"/>
    </row>
    <row r="188">
      <c r="A188" s="154"/>
      <c r="B188" s="126"/>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c r="AD188" s="122"/>
    </row>
    <row r="189">
      <c r="A189" s="154"/>
      <c r="B189" s="126"/>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c r="AD189" s="122"/>
    </row>
    <row r="190">
      <c r="A190" s="154"/>
      <c r="B190" s="126"/>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c r="AD190" s="122"/>
    </row>
    <row r="191">
      <c r="A191" s="154"/>
      <c r="B191" s="126"/>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row>
    <row r="192">
      <c r="A192" s="154"/>
      <c r="B192" s="126"/>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c r="AD192" s="122"/>
    </row>
    <row r="193">
      <c r="A193" s="154"/>
      <c r="B193" s="126"/>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c r="AD193" s="122"/>
    </row>
    <row r="194">
      <c r="A194" s="154"/>
      <c r="B194" s="126"/>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c r="AD194" s="122"/>
    </row>
    <row r="195">
      <c r="A195" s="154"/>
      <c r="B195" s="126"/>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row>
    <row r="196">
      <c r="A196" s="154"/>
      <c r="B196" s="126"/>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row>
    <row r="197">
      <c r="A197" s="154"/>
      <c r="B197" s="126"/>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row>
    <row r="198">
      <c r="A198" s="154"/>
      <c r="B198" s="126"/>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c r="AD198" s="122"/>
    </row>
    <row r="199">
      <c r="A199" s="154"/>
      <c r="B199" s="126"/>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c r="AD199" s="122"/>
    </row>
    <row r="200">
      <c r="A200" s="154"/>
      <c r="B200" s="126"/>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c r="AD200" s="122"/>
    </row>
    <row r="201">
      <c r="A201" s="154"/>
      <c r="B201" s="126"/>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c r="AD201" s="122"/>
    </row>
    <row r="202">
      <c r="A202" s="154"/>
      <c r="B202" s="126"/>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c r="AD202" s="122"/>
    </row>
    <row r="203">
      <c r="A203" s="154"/>
      <c r="B203" s="126"/>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c r="AD203" s="122"/>
    </row>
    <row r="204">
      <c r="A204" s="154"/>
      <c r="B204" s="126"/>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row>
    <row r="205">
      <c r="A205" s="154"/>
      <c r="B205" s="126"/>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c r="AD205" s="122"/>
    </row>
    <row r="206">
      <c r="A206" s="154"/>
      <c r="B206" s="126"/>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c r="AD206" s="122"/>
    </row>
    <row r="207">
      <c r="A207" s="154"/>
      <c r="B207" s="126"/>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c r="AD207" s="122"/>
    </row>
    <row r="208">
      <c r="A208" s="154"/>
      <c r="B208" s="126"/>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c r="AD208" s="122"/>
    </row>
    <row r="209">
      <c r="A209" s="154"/>
      <c r="B209" s="126"/>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row>
    <row r="210">
      <c r="A210" s="154"/>
      <c r="B210" s="126"/>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row>
    <row r="211">
      <c r="A211" s="154"/>
      <c r="B211" s="126"/>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c r="AD211" s="122"/>
    </row>
    <row r="212">
      <c r="A212" s="154"/>
      <c r="B212" s="126"/>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row>
    <row r="213">
      <c r="A213" s="154"/>
      <c r="B213" s="126"/>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c r="AD213" s="122"/>
    </row>
    <row r="214">
      <c r="A214" s="154"/>
      <c r="B214" s="126"/>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row>
    <row r="215">
      <c r="A215" s="154"/>
      <c r="B215" s="126"/>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row>
    <row r="216">
      <c r="A216" s="154"/>
      <c r="B216" s="126"/>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row>
    <row r="217">
      <c r="A217" s="154"/>
      <c r="B217" s="126"/>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2"/>
    </row>
    <row r="218">
      <c r="A218" s="154"/>
      <c r="B218" s="126"/>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c r="AD218" s="122"/>
    </row>
    <row r="219">
      <c r="A219" s="154"/>
      <c r="B219" s="126"/>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c r="AD219" s="122"/>
    </row>
    <row r="220">
      <c r="A220" s="154"/>
      <c r="B220" s="126"/>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c r="AD220" s="122"/>
    </row>
    <row r="221">
      <c r="A221" s="154"/>
      <c r="B221" s="126"/>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c r="AD221" s="122"/>
    </row>
    <row r="222">
      <c r="A222" s="154"/>
      <c r="B222" s="126"/>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row>
    <row r="223">
      <c r="A223" s="154"/>
      <c r="B223" s="126"/>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c r="AD223" s="122"/>
    </row>
    <row r="224">
      <c r="A224" s="154"/>
      <c r="B224" s="126"/>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c r="AD224" s="122"/>
    </row>
    <row r="225">
      <c r="A225" s="154"/>
      <c r="B225" s="126"/>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c r="AD225" s="122"/>
    </row>
    <row r="226">
      <c r="A226" s="154"/>
      <c r="B226" s="126"/>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c r="AD226" s="122"/>
    </row>
    <row r="227">
      <c r="A227" s="154"/>
      <c r="B227" s="126"/>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2"/>
    </row>
    <row r="228">
      <c r="A228" s="154"/>
      <c r="B228" s="126"/>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row>
    <row r="229">
      <c r="A229" s="154"/>
      <c r="B229" s="126"/>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c r="AD229" s="122"/>
    </row>
    <row r="230">
      <c r="A230" s="154"/>
      <c r="B230" s="126"/>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c r="AD230" s="122"/>
    </row>
    <row r="231">
      <c r="A231" s="154"/>
      <c r="B231" s="126"/>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c r="AD231" s="122"/>
    </row>
    <row r="232">
      <c r="A232" s="154"/>
      <c r="B232" s="126"/>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c r="AD232" s="122"/>
    </row>
    <row r="233">
      <c r="A233" s="154"/>
      <c r="B233" s="126"/>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c r="AD233" s="122"/>
    </row>
    <row r="234">
      <c r="A234" s="154"/>
      <c r="B234" s="126"/>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c r="AD234" s="122"/>
    </row>
    <row r="235">
      <c r="A235" s="154"/>
      <c r="B235" s="126"/>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c r="AD235" s="122"/>
    </row>
    <row r="236">
      <c r="A236" s="154"/>
      <c r="B236" s="126"/>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c r="AD236" s="122"/>
    </row>
    <row r="237">
      <c r="A237" s="154"/>
      <c r="B237" s="126"/>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c r="AD237" s="122"/>
    </row>
    <row r="238">
      <c r="A238" s="154"/>
      <c r="B238" s="126"/>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c r="AD238" s="122"/>
    </row>
    <row r="239">
      <c r="A239" s="154"/>
      <c r="B239" s="126"/>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c r="AD239" s="122"/>
    </row>
    <row r="240">
      <c r="A240" s="154"/>
      <c r="B240" s="126"/>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c r="AD240" s="122"/>
    </row>
    <row r="241">
      <c r="A241" s="154"/>
      <c r="B241" s="126"/>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c r="AD241" s="122"/>
    </row>
    <row r="242">
      <c r="A242" s="154"/>
      <c r="B242" s="126"/>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c r="AD242" s="122"/>
    </row>
    <row r="243">
      <c r="A243" s="154"/>
      <c r="B243" s="126"/>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c r="AD243" s="122"/>
    </row>
    <row r="244">
      <c r="A244" s="154"/>
      <c r="B244" s="126"/>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c r="AD244" s="122"/>
    </row>
    <row r="245">
      <c r="A245" s="154"/>
      <c r="B245" s="126"/>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c r="AD245" s="122"/>
    </row>
    <row r="246">
      <c r="A246" s="154"/>
      <c r="B246" s="126"/>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c r="AD246" s="122"/>
    </row>
    <row r="247">
      <c r="A247" s="154"/>
      <c r="B247" s="126"/>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c r="AD247" s="122"/>
    </row>
    <row r="248">
      <c r="A248" s="154"/>
      <c r="B248" s="126"/>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c r="AD248" s="122"/>
    </row>
    <row r="249">
      <c r="A249" s="154"/>
      <c r="B249" s="126"/>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c r="AD249" s="122"/>
    </row>
    <row r="250">
      <c r="A250" s="154"/>
      <c r="B250" s="126"/>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c r="AD250" s="122"/>
    </row>
    <row r="251">
      <c r="A251" s="154"/>
      <c r="B251" s="126"/>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c r="AD251" s="122"/>
    </row>
    <row r="252">
      <c r="A252" s="154"/>
      <c r="B252" s="126"/>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c r="AD252" s="122"/>
    </row>
    <row r="253">
      <c r="A253" s="154"/>
      <c r="B253" s="126"/>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c r="AD253" s="122"/>
    </row>
    <row r="254">
      <c r="A254" s="154"/>
      <c r="B254" s="126"/>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c r="AD254" s="122"/>
    </row>
    <row r="255">
      <c r="A255" s="154"/>
      <c r="B255" s="126"/>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c r="AD255" s="122"/>
    </row>
    <row r="256">
      <c r="A256" s="154"/>
      <c r="B256" s="126"/>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c r="AD256" s="122"/>
    </row>
    <row r="257">
      <c r="A257" s="154"/>
      <c r="B257" s="126"/>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c r="AD257" s="122"/>
    </row>
    <row r="258">
      <c r="A258" s="154"/>
      <c r="B258" s="126"/>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c r="AD258" s="122"/>
    </row>
    <row r="259">
      <c r="A259" s="154"/>
      <c r="B259" s="126"/>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c r="AD259" s="122"/>
    </row>
    <row r="260">
      <c r="A260" s="154"/>
      <c r="B260" s="126"/>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c r="AD260" s="122"/>
    </row>
    <row r="261">
      <c r="A261" s="154"/>
      <c r="B261" s="126"/>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c r="AD261" s="122"/>
    </row>
    <row r="262">
      <c r="A262" s="154"/>
      <c r="B262" s="126"/>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c r="AD262" s="122"/>
    </row>
    <row r="263">
      <c r="A263" s="154"/>
      <c r="B263" s="126"/>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c r="AD263" s="122"/>
    </row>
    <row r="264">
      <c r="A264" s="154"/>
      <c r="B264" s="126"/>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c r="AD264" s="122"/>
    </row>
    <row r="265">
      <c r="A265" s="154"/>
      <c r="B265" s="126"/>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c r="AD265" s="122"/>
    </row>
    <row r="266">
      <c r="A266" s="154"/>
      <c r="B266" s="126"/>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c r="AD266" s="122"/>
    </row>
    <row r="267">
      <c r="A267" s="154"/>
      <c r="B267" s="126"/>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2"/>
    </row>
    <row r="268">
      <c r="A268" s="154"/>
      <c r="B268" s="126"/>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c r="AD268" s="122"/>
    </row>
    <row r="269">
      <c r="A269" s="154"/>
      <c r="B269" s="126"/>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c r="AD269" s="122"/>
    </row>
    <row r="270">
      <c r="A270" s="154"/>
      <c r="B270" s="126"/>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c r="AD270" s="122"/>
    </row>
    <row r="271">
      <c r="A271" s="154"/>
      <c r="B271" s="126"/>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c r="AD271" s="122"/>
    </row>
    <row r="272">
      <c r="A272" s="154"/>
      <c r="B272" s="126"/>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c r="AD272" s="122"/>
    </row>
    <row r="273">
      <c r="A273" s="154"/>
      <c r="B273" s="126"/>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c r="AD273" s="122"/>
    </row>
    <row r="274">
      <c r="A274" s="154"/>
      <c r="B274" s="126"/>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2"/>
    </row>
    <row r="275">
      <c r="A275" s="154"/>
      <c r="B275" s="126"/>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c r="AD275" s="122"/>
    </row>
    <row r="276">
      <c r="A276" s="154"/>
      <c r="B276" s="126"/>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c r="AD276" s="122"/>
    </row>
    <row r="277">
      <c r="A277" s="154"/>
      <c r="B277" s="126"/>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c r="AD277" s="122"/>
    </row>
    <row r="278">
      <c r="A278" s="154"/>
      <c r="B278" s="126"/>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c r="AD278" s="122"/>
    </row>
    <row r="279">
      <c r="A279" s="154"/>
      <c r="B279" s="126"/>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c r="AD279" s="122"/>
    </row>
    <row r="280">
      <c r="A280" s="154"/>
      <c r="B280" s="126"/>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c r="AD280" s="122"/>
    </row>
    <row r="281">
      <c r="A281" s="154"/>
      <c r="B281" s="126"/>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c r="AD281" s="122"/>
    </row>
    <row r="282">
      <c r="A282" s="154"/>
      <c r="B282" s="126"/>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c r="AD282" s="122"/>
    </row>
    <row r="283">
      <c r="A283" s="154"/>
      <c r="B283" s="126"/>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c r="AD283" s="122"/>
    </row>
    <row r="284">
      <c r="A284" s="154"/>
      <c r="B284" s="126"/>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c r="AD284" s="122"/>
    </row>
    <row r="285">
      <c r="A285" s="154"/>
      <c r="B285" s="126"/>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c r="AD285" s="122"/>
    </row>
    <row r="286">
      <c r="A286" s="154"/>
      <c r="B286" s="126"/>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c r="AD286" s="122"/>
    </row>
    <row r="287">
      <c r="A287" s="154"/>
      <c r="B287" s="126"/>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c r="AD287" s="122"/>
    </row>
    <row r="288">
      <c r="A288" s="154"/>
      <c r="B288" s="126"/>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2"/>
    </row>
    <row r="289">
      <c r="A289" s="154"/>
      <c r="B289" s="126"/>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c r="AD289" s="122"/>
    </row>
    <row r="290">
      <c r="A290" s="154"/>
      <c r="B290" s="126"/>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c r="AD290" s="122"/>
    </row>
    <row r="291">
      <c r="A291" s="154"/>
      <c r="B291" s="126"/>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c r="AD291" s="122"/>
    </row>
    <row r="292">
      <c r="A292" s="154"/>
      <c r="B292" s="126"/>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2"/>
    </row>
    <row r="293">
      <c r="A293" s="154"/>
      <c r="B293" s="126"/>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row>
    <row r="294">
      <c r="A294" s="154"/>
      <c r="B294" s="126"/>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2"/>
    </row>
    <row r="295">
      <c r="A295" s="154"/>
      <c r="B295" s="126"/>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c r="AD295" s="122"/>
    </row>
    <row r="296">
      <c r="A296" s="154"/>
      <c r="B296" s="126"/>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c r="AD296" s="122"/>
    </row>
    <row r="297">
      <c r="A297" s="154"/>
      <c r="B297" s="126"/>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c r="AD297" s="122"/>
    </row>
    <row r="298">
      <c r="A298" s="154"/>
      <c r="B298" s="126"/>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c r="AD298" s="122"/>
    </row>
    <row r="299">
      <c r="A299" s="154"/>
      <c r="B299" s="126"/>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c r="AD299" s="122"/>
    </row>
    <row r="300">
      <c r="A300" s="154"/>
      <c r="B300" s="126"/>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c r="AD300" s="122"/>
    </row>
    <row r="301">
      <c r="A301" s="154"/>
      <c r="B301" s="126"/>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c r="AD301" s="122"/>
    </row>
    <row r="302">
      <c r="A302" s="154"/>
      <c r="B302" s="126"/>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c r="AD302" s="122"/>
    </row>
    <row r="303">
      <c r="A303" s="154"/>
      <c r="B303" s="126"/>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c r="AD303" s="122"/>
    </row>
    <row r="304">
      <c r="A304" s="154"/>
      <c r="B304" s="126"/>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c r="AD304" s="122"/>
    </row>
    <row r="305">
      <c r="A305" s="154"/>
      <c r="B305" s="126"/>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c r="AD305" s="122"/>
    </row>
    <row r="306">
      <c r="A306" s="154"/>
      <c r="B306" s="126"/>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c r="AD306" s="122"/>
    </row>
    <row r="307">
      <c r="A307" s="154"/>
      <c r="B307" s="126"/>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c r="AD307" s="122"/>
    </row>
    <row r="308">
      <c r="A308" s="154"/>
      <c r="B308" s="126"/>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c r="AD308" s="122"/>
    </row>
    <row r="309">
      <c r="A309" s="154"/>
      <c r="B309" s="126"/>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c r="AD309" s="122"/>
    </row>
    <row r="310">
      <c r="A310" s="154"/>
      <c r="B310" s="126"/>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c r="AD310" s="122"/>
    </row>
    <row r="311">
      <c r="A311" s="154"/>
      <c r="B311" s="126"/>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c r="AD311" s="122"/>
    </row>
    <row r="312">
      <c r="A312" s="154"/>
      <c r="B312" s="126"/>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c r="AD312" s="122"/>
    </row>
    <row r="313">
      <c r="A313" s="154"/>
      <c r="B313" s="126"/>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c r="AD313" s="122"/>
    </row>
    <row r="314">
      <c r="A314" s="154"/>
      <c r="B314" s="126"/>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c r="AD314" s="122"/>
    </row>
    <row r="315">
      <c r="A315" s="154"/>
      <c r="B315" s="126"/>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c r="AD315" s="122"/>
    </row>
    <row r="316">
      <c r="A316" s="154"/>
      <c r="B316" s="126"/>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c r="AD316" s="122"/>
    </row>
    <row r="317">
      <c r="A317" s="154"/>
      <c r="B317" s="126"/>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c r="AD317" s="122"/>
    </row>
    <row r="318">
      <c r="A318" s="154"/>
      <c r="B318" s="126"/>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c r="AD318" s="122"/>
    </row>
    <row r="319">
      <c r="A319" s="154"/>
      <c r="B319" s="126"/>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c r="AD319" s="122"/>
    </row>
    <row r="320">
      <c r="A320" s="154"/>
      <c r="B320" s="126"/>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c r="AD320" s="122"/>
    </row>
    <row r="321">
      <c r="A321" s="154"/>
      <c r="B321" s="126"/>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c r="AD321" s="122"/>
    </row>
    <row r="322">
      <c r="A322" s="154"/>
      <c r="B322" s="126"/>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c r="AD322" s="122"/>
    </row>
    <row r="323">
      <c r="A323" s="154"/>
      <c r="B323" s="126"/>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c r="AD323" s="122"/>
    </row>
    <row r="324">
      <c r="A324" s="154"/>
      <c r="B324" s="126"/>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c r="AD324" s="122"/>
    </row>
    <row r="325">
      <c r="A325" s="154"/>
      <c r="B325" s="126"/>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c r="AD325" s="122"/>
    </row>
    <row r="326">
      <c r="A326" s="154"/>
      <c r="B326" s="126"/>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c r="AD326" s="122"/>
    </row>
    <row r="327">
      <c r="A327" s="154"/>
      <c r="B327" s="126"/>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c r="AD327" s="122"/>
    </row>
    <row r="328">
      <c r="A328" s="154"/>
      <c r="B328" s="126"/>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c r="AD328" s="122"/>
    </row>
    <row r="329">
      <c r="A329" s="154"/>
      <c r="B329" s="126"/>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c r="AD329" s="122"/>
    </row>
    <row r="330">
      <c r="A330" s="154"/>
      <c r="B330" s="126"/>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c r="AD330" s="122"/>
    </row>
    <row r="331">
      <c r="A331" s="154"/>
      <c r="B331" s="126"/>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c r="AD331" s="122"/>
    </row>
    <row r="332">
      <c r="A332" s="154"/>
      <c r="B332" s="126"/>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c r="AD332" s="122"/>
    </row>
    <row r="333">
      <c r="A333" s="154"/>
      <c r="B333" s="126"/>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c r="AD333" s="122"/>
    </row>
    <row r="334">
      <c r="A334" s="154"/>
      <c r="B334" s="126"/>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c r="AD334" s="122"/>
    </row>
    <row r="335">
      <c r="A335" s="154"/>
      <c r="B335" s="126"/>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c r="AD335" s="122"/>
    </row>
    <row r="336">
      <c r="A336" s="154"/>
      <c r="B336" s="126"/>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c r="AD336" s="122"/>
    </row>
    <row r="337">
      <c r="A337" s="154"/>
      <c r="B337" s="126"/>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c r="AD337" s="122"/>
    </row>
    <row r="338">
      <c r="A338" s="154"/>
      <c r="B338" s="126"/>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c r="AD338" s="122"/>
    </row>
    <row r="339">
      <c r="A339" s="154"/>
      <c r="B339" s="126"/>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c r="AD339" s="122"/>
    </row>
    <row r="340">
      <c r="A340" s="154"/>
      <c r="B340" s="126"/>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c r="AD340" s="122"/>
    </row>
    <row r="341">
      <c r="A341" s="154"/>
      <c r="B341" s="126"/>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c r="AD341" s="122"/>
    </row>
    <row r="342">
      <c r="A342" s="154"/>
      <c r="B342" s="126"/>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c r="AD342" s="122"/>
    </row>
    <row r="343">
      <c r="A343" s="154"/>
      <c r="B343" s="126"/>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c r="AD343" s="122"/>
    </row>
    <row r="344">
      <c r="A344" s="154"/>
      <c r="B344" s="126"/>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c r="AD344" s="122"/>
    </row>
    <row r="345">
      <c r="A345" s="154"/>
      <c r="B345" s="126"/>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c r="AD345" s="122"/>
    </row>
    <row r="346">
      <c r="A346" s="154"/>
      <c r="B346" s="126"/>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c r="AD346" s="122"/>
    </row>
    <row r="347">
      <c r="A347" s="154"/>
      <c r="B347" s="126"/>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c r="AD347" s="122"/>
    </row>
    <row r="348">
      <c r="A348" s="154"/>
      <c r="B348" s="126"/>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c r="AD348" s="122"/>
    </row>
    <row r="349">
      <c r="A349" s="154"/>
      <c r="B349" s="126"/>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c r="AD349" s="122"/>
    </row>
    <row r="350">
      <c r="A350" s="154"/>
      <c r="B350" s="126"/>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c r="AD350" s="122"/>
    </row>
    <row r="351">
      <c r="A351" s="154"/>
      <c r="B351" s="126"/>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c r="AD351" s="122"/>
    </row>
    <row r="352">
      <c r="A352" s="154"/>
      <c r="B352" s="126"/>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c r="AD352" s="122"/>
    </row>
    <row r="353">
      <c r="A353" s="154"/>
      <c r="B353" s="126"/>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c r="AD353" s="122"/>
    </row>
    <row r="354">
      <c r="A354" s="154"/>
      <c r="B354" s="126"/>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c r="AD354" s="122"/>
    </row>
    <row r="355">
      <c r="A355" s="154"/>
      <c r="B355" s="126"/>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c r="AD355" s="122"/>
    </row>
    <row r="356">
      <c r="A356" s="154"/>
      <c r="B356" s="126"/>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c r="AD356" s="122"/>
    </row>
    <row r="357">
      <c r="A357" s="154"/>
      <c r="B357" s="126"/>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c r="AD357" s="122"/>
    </row>
    <row r="358">
      <c r="A358" s="154"/>
      <c r="B358" s="126"/>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c r="AD358" s="122"/>
    </row>
    <row r="359">
      <c r="A359" s="154"/>
      <c r="B359" s="126"/>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c r="AD359" s="122"/>
    </row>
    <row r="360">
      <c r="A360" s="154"/>
      <c r="B360" s="126"/>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c r="AD360" s="122"/>
    </row>
    <row r="361">
      <c r="A361" s="154"/>
      <c r="B361" s="126"/>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c r="AD361" s="122"/>
    </row>
    <row r="362">
      <c r="A362" s="154"/>
      <c r="B362" s="126"/>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c r="AD362" s="122"/>
    </row>
    <row r="363">
      <c r="A363" s="154"/>
      <c r="B363" s="126"/>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c r="AD363" s="122"/>
    </row>
    <row r="364">
      <c r="A364" s="154"/>
      <c r="B364" s="126"/>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2"/>
    </row>
    <row r="365">
      <c r="A365" s="154"/>
      <c r="B365" s="126"/>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c r="AD365" s="122"/>
    </row>
    <row r="366">
      <c r="A366" s="154"/>
      <c r="B366" s="126"/>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c r="AD366" s="122"/>
    </row>
    <row r="367">
      <c r="A367" s="154"/>
      <c r="B367" s="126"/>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c r="AD367" s="122"/>
    </row>
    <row r="368">
      <c r="A368" s="154"/>
      <c r="B368" s="126"/>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c r="AD368" s="122"/>
    </row>
    <row r="369">
      <c r="A369" s="154"/>
      <c r="B369" s="126"/>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2"/>
    </row>
    <row r="370">
      <c r="A370" s="154"/>
      <c r="B370" s="126"/>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c r="AD370" s="122"/>
    </row>
    <row r="371">
      <c r="A371" s="154"/>
      <c r="B371" s="126"/>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c r="AD371" s="122"/>
    </row>
    <row r="372">
      <c r="A372" s="154"/>
      <c r="B372" s="126"/>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c r="AD372" s="122"/>
    </row>
    <row r="373">
      <c r="A373" s="154"/>
      <c r="B373" s="126"/>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c r="AD373" s="122"/>
    </row>
    <row r="374">
      <c r="A374" s="154"/>
      <c r="B374" s="126"/>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c r="AD374" s="122"/>
    </row>
    <row r="375">
      <c r="A375" s="154"/>
      <c r="B375" s="126"/>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c r="AD375" s="122"/>
    </row>
    <row r="376">
      <c r="A376" s="154"/>
      <c r="B376" s="126"/>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c r="AD376" s="122"/>
    </row>
    <row r="377">
      <c r="A377" s="154"/>
      <c r="B377" s="126"/>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c r="AD377" s="122"/>
    </row>
    <row r="378">
      <c r="A378" s="154"/>
      <c r="B378" s="126"/>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c r="AD378" s="122"/>
    </row>
    <row r="379">
      <c r="A379" s="154"/>
      <c r="B379" s="126"/>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c r="AD379" s="122"/>
    </row>
    <row r="380">
      <c r="A380" s="154"/>
      <c r="B380" s="126"/>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c r="AD380" s="122"/>
    </row>
    <row r="381">
      <c r="A381" s="154"/>
      <c r="B381" s="126"/>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c r="AD381" s="122"/>
    </row>
    <row r="382">
      <c r="A382" s="154"/>
      <c r="B382" s="126"/>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c r="AD382" s="122"/>
    </row>
    <row r="383">
      <c r="A383" s="154"/>
      <c r="B383" s="126"/>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c r="AD383" s="122"/>
    </row>
    <row r="384">
      <c r="A384" s="154"/>
      <c r="B384" s="126"/>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c r="AD384" s="122"/>
    </row>
    <row r="385">
      <c r="A385" s="154"/>
      <c r="B385" s="126"/>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c r="AD385" s="122"/>
    </row>
    <row r="386">
      <c r="A386" s="154"/>
      <c r="B386" s="126"/>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c r="AD386" s="122"/>
    </row>
    <row r="387">
      <c r="A387" s="154"/>
      <c r="B387" s="126"/>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c r="AD387" s="122"/>
    </row>
    <row r="388">
      <c r="A388" s="154"/>
      <c r="B388" s="126"/>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c r="AD388" s="122"/>
    </row>
    <row r="389">
      <c r="A389" s="154"/>
      <c r="B389" s="126"/>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c r="AD389" s="122"/>
    </row>
    <row r="390">
      <c r="A390" s="154"/>
      <c r="B390" s="126"/>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2"/>
    </row>
    <row r="391">
      <c r="A391" s="154"/>
      <c r="B391" s="126"/>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c r="AD391" s="122"/>
    </row>
    <row r="392">
      <c r="A392" s="154"/>
      <c r="B392" s="126"/>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c r="AD392" s="122"/>
    </row>
    <row r="393">
      <c r="A393" s="154"/>
      <c r="B393" s="126"/>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c r="AD393" s="122"/>
    </row>
    <row r="394">
      <c r="A394" s="154"/>
      <c r="B394" s="126"/>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c r="AD394" s="122"/>
    </row>
    <row r="395">
      <c r="A395" s="154"/>
      <c r="B395" s="126"/>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c r="AD395" s="122"/>
    </row>
    <row r="396">
      <c r="A396" s="154"/>
      <c r="B396" s="126"/>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c r="AD396" s="122"/>
    </row>
    <row r="397">
      <c r="A397" s="154"/>
      <c r="B397" s="126"/>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c r="AD397" s="122"/>
    </row>
    <row r="398">
      <c r="A398" s="154"/>
      <c r="B398" s="126"/>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c r="AD398" s="122"/>
    </row>
    <row r="399">
      <c r="A399" s="154"/>
      <c r="B399" s="126"/>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c r="AD399" s="122"/>
    </row>
    <row r="400">
      <c r="A400" s="154"/>
      <c r="B400" s="126"/>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c r="AD400" s="122"/>
    </row>
    <row r="401">
      <c r="A401" s="154"/>
      <c r="B401" s="126"/>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c r="AD401" s="122"/>
    </row>
    <row r="402">
      <c r="A402" s="154"/>
      <c r="B402" s="126"/>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c r="AD402" s="122"/>
    </row>
    <row r="403">
      <c r="A403" s="154"/>
      <c r="B403" s="126"/>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c r="AD403" s="122"/>
    </row>
    <row r="404">
      <c r="A404" s="154"/>
      <c r="B404" s="126"/>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c r="AD404" s="122"/>
    </row>
    <row r="405">
      <c r="A405" s="154"/>
      <c r="B405" s="126"/>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c r="AD405" s="122"/>
    </row>
    <row r="406">
      <c r="A406" s="154"/>
      <c r="B406" s="126"/>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c r="AD406" s="122"/>
    </row>
    <row r="407">
      <c r="A407" s="154"/>
      <c r="B407" s="126"/>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c r="AD407" s="122"/>
    </row>
    <row r="408">
      <c r="A408" s="154"/>
      <c r="B408" s="126"/>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c r="AD408" s="122"/>
    </row>
    <row r="409">
      <c r="A409" s="154"/>
      <c r="B409" s="126"/>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2"/>
    </row>
    <row r="410">
      <c r="A410" s="154"/>
      <c r="B410" s="126"/>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c r="AD410" s="122"/>
    </row>
    <row r="411">
      <c r="A411" s="154"/>
      <c r="B411" s="126"/>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c r="AD411" s="122"/>
    </row>
    <row r="412">
      <c r="A412" s="154"/>
      <c r="B412" s="126"/>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c r="AD412" s="122"/>
    </row>
    <row r="413">
      <c r="A413" s="154"/>
      <c r="B413" s="126"/>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c r="AD413" s="122"/>
    </row>
    <row r="414">
      <c r="A414" s="154"/>
      <c r="B414" s="126"/>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2"/>
    </row>
    <row r="415">
      <c r="A415" s="154"/>
      <c r="B415" s="126"/>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c r="AD415" s="122"/>
    </row>
    <row r="416">
      <c r="A416" s="154"/>
      <c r="B416" s="126"/>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c r="AD416" s="122"/>
    </row>
    <row r="417">
      <c r="A417" s="154"/>
      <c r="B417" s="126"/>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c r="AD417" s="122"/>
    </row>
    <row r="418">
      <c r="A418" s="154"/>
      <c r="B418" s="126"/>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c r="AD418" s="122"/>
    </row>
    <row r="419">
      <c r="A419" s="154"/>
      <c r="B419" s="126"/>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c r="AD419" s="122"/>
    </row>
    <row r="420">
      <c r="A420" s="154"/>
      <c r="B420" s="126"/>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c r="AD420" s="122"/>
    </row>
    <row r="421">
      <c r="A421" s="154"/>
      <c r="B421" s="126"/>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c r="AD421" s="122"/>
    </row>
    <row r="422">
      <c r="A422" s="154"/>
      <c r="B422" s="126"/>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c r="AD422" s="122"/>
    </row>
    <row r="423">
      <c r="A423" s="154"/>
      <c r="B423" s="126"/>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c r="AD423" s="122"/>
    </row>
    <row r="424">
      <c r="A424" s="154"/>
      <c r="B424" s="126"/>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c r="AD424" s="122"/>
    </row>
    <row r="425">
      <c r="A425" s="154"/>
      <c r="B425" s="126"/>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c r="AD425" s="122"/>
    </row>
    <row r="426">
      <c r="A426" s="154"/>
      <c r="B426" s="126"/>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c r="AD426" s="122"/>
    </row>
    <row r="427">
      <c r="A427" s="154"/>
      <c r="B427" s="126"/>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c r="AD427" s="122"/>
    </row>
    <row r="428">
      <c r="A428" s="154"/>
      <c r="B428" s="126"/>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c r="AD428" s="122"/>
    </row>
    <row r="429">
      <c r="A429" s="154"/>
      <c r="B429" s="126"/>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c r="AD429" s="122"/>
    </row>
    <row r="430">
      <c r="A430" s="154"/>
      <c r="B430" s="126"/>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c r="AD430" s="122"/>
    </row>
    <row r="431">
      <c r="A431" s="154"/>
      <c r="B431" s="126"/>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c r="AD431" s="122"/>
    </row>
    <row r="432">
      <c r="A432" s="154"/>
      <c r="B432" s="126"/>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c r="AD432" s="122"/>
    </row>
    <row r="433">
      <c r="A433" s="154"/>
      <c r="B433" s="126"/>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c r="AD433" s="122"/>
    </row>
    <row r="434">
      <c r="A434" s="154"/>
      <c r="B434" s="126"/>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2"/>
    </row>
    <row r="435">
      <c r="A435" s="154"/>
      <c r="B435" s="126"/>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c r="AD435" s="122"/>
    </row>
    <row r="436">
      <c r="A436" s="154"/>
      <c r="B436" s="126"/>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c r="AD436" s="122"/>
    </row>
    <row r="437">
      <c r="A437" s="154"/>
      <c r="B437" s="126"/>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c r="AD437" s="122"/>
    </row>
    <row r="438">
      <c r="A438" s="154"/>
      <c r="B438" s="126"/>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c r="AD438" s="122"/>
    </row>
    <row r="439">
      <c r="A439" s="154"/>
      <c r="B439" s="126"/>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c r="AD439" s="122"/>
    </row>
    <row r="440">
      <c r="A440" s="154"/>
      <c r="B440" s="126"/>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c r="AD440" s="122"/>
    </row>
    <row r="441">
      <c r="A441" s="154"/>
      <c r="B441" s="126"/>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c r="AD441" s="122"/>
    </row>
    <row r="442">
      <c r="A442" s="154"/>
      <c r="B442" s="126"/>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c r="AD442" s="122"/>
    </row>
    <row r="443">
      <c r="A443" s="154"/>
      <c r="B443" s="126"/>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c r="AD443" s="122"/>
    </row>
    <row r="444">
      <c r="A444" s="154"/>
      <c r="B444" s="126"/>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c r="AD444" s="122"/>
    </row>
    <row r="445">
      <c r="A445" s="154"/>
      <c r="B445" s="126"/>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c r="AD445" s="122"/>
    </row>
    <row r="446">
      <c r="A446" s="154"/>
      <c r="B446" s="126"/>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c r="AD446" s="122"/>
    </row>
    <row r="447">
      <c r="A447" s="154"/>
      <c r="B447" s="126"/>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c r="AD447" s="122"/>
    </row>
    <row r="448">
      <c r="A448" s="154"/>
      <c r="B448" s="126"/>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c r="AD448" s="122"/>
    </row>
    <row r="449">
      <c r="A449" s="154"/>
      <c r="B449" s="126"/>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c r="AD449" s="122"/>
    </row>
    <row r="450">
      <c r="A450" s="154"/>
      <c r="B450" s="126"/>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c r="AD450" s="122"/>
    </row>
    <row r="451">
      <c r="A451" s="154"/>
      <c r="B451" s="126"/>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c r="AD451" s="122"/>
    </row>
    <row r="452">
      <c r="A452" s="154"/>
      <c r="B452" s="126"/>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c r="AD452" s="122"/>
    </row>
    <row r="453">
      <c r="A453" s="154"/>
      <c r="B453" s="126"/>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c r="AD453" s="122"/>
    </row>
    <row r="454">
      <c r="A454" s="154"/>
      <c r="B454" s="126"/>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c r="AD454" s="122"/>
    </row>
    <row r="455">
      <c r="A455" s="154"/>
      <c r="B455" s="126"/>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c r="AD455" s="122"/>
    </row>
    <row r="456">
      <c r="A456" s="154"/>
      <c r="B456" s="126"/>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c r="AD456" s="122"/>
    </row>
    <row r="457">
      <c r="A457" s="154"/>
      <c r="B457" s="126"/>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c r="AD457" s="122"/>
    </row>
    <row r="458">
      <c r="A458" s="154"/>
      <c r="B458" s="126"/>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c r="AD458" s="122"/>
    </row>
    <row r="459">
      <c r="A459" s="154"/>
      <c r="B459" s="126"/>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c r="AD459" s="122"/>
    </row>
    <row r="460">
      <c r="A460" s="154"/>
      <c r="B460" s="126"/>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c r="AD460" s="122"/>
    </row>
    <row r="461">
      <c r="A461" s="154"/>
      <c r="B461" s="126"/>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c r="AD461" s="122"/>
    </row>
    <row r="462">
      <c r="A462" s="154"/>
      <c r="B462" s="126"/>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c r="AD462" s="122"/>
    </row>
    <row r="463">
      <c r="A463" s="154"/>
      <c r="B463" s="126"/>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c r="AD463" s="122"/>
    </row>
    <row r="464">
      <c r="A464" s="154"/>
      <c r="B464" s="126"/>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c r="AD464" s="122"/>
    </row>
    <row r="465">
      <c r="A465" s="154"/>
      <c r="B465" s="126"/>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c r="AD465" s="122"/>
    </row>
    <row r="466">
      <c r="A466" s="154"/>
      <c r="B466" s="126"/>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c r="AD466" s="122"/>
    </row>
    <row r="467">
      <c r="A467" s="154"/>
      <c r="B467" s="126"/>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2"/>
    </row>
    <row r="468">
      <c r="A468" s="154"/>
      <c r="B468" s="126"/>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c r="AD468" s="122"/>
    </row>
    <row r="469">
      <c r="A469" s="154"/>
      <c r="B469" s="126"/>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2"/>
    </row>
    <row r="470">
      <c r="A470" s="154"/>
      <c r="B470" s="126"/>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c r="AD470" s="122"/>
    </row>
    <row r="471">
      <c r="A471" s="154"/>
      <c r="B471" s="126"/>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c r="AD471" s="122"/>
    </row>
    <row r="472">
      <c r="A472" s="154"/>
      <c r="B472" s="126"/>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2"/>
    </row>
    <row r="473">
      <c r="A473" s="154"/>
      <c r="B473" s="126"/>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c r="AD473" s="122"/>
    </row>
    <row r="474">
      <c r="A474" s="154"/>
      <c r="B474" s="126"/>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2"/>
    </row>
    <row r="475">
      <c r="A475" s="154"/>
      <c r="B475" s="126"/>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c r="AD475" s="122"/>
    </row>
    <row r="476">
      <c r="A476" s="154"/>
      <c r="B476" s="126"/>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c r="AD476" s="122"/>
    </row>
    <row r="477">
      <c r="A477" s="154"/>
      <c r="B477" s="126"/>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2"/>
    </row>
    <row r="478">
      <c r="A478" s="154"/>
      <c r="B478" s="126"/>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c r="AD478" s="122"/>
    </row>
    <row r="479">
      <c r="A479" s="154"/>
      <c r="B479" s="126"/>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2"/>
    </row>
    <row r="480">
      <c r="A480" s="154"/>
      <c r="B480" s="126"/>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c r="AD480" s="122"/>
    </row>
    <row r="481">
      <c r="A481" s="154"/>
      <c r="B481" s="126"/>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c r="AD481" s="122"/>
    </row>
    <row r="482">
      <c r="A482" s="154"/>
      <c r="B482" s="126"/>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2"/>
    </row>
    <row r="483">
      <c r="A483" s="154"/>
      <c r="B483" s="126"/>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c r="AD483" s="122"/>
    </row>
    <row r="484">
      <c r="A484" s="154"/>
      <c r="B484" s="126"/>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c r="AD484" s="122"/>
    </row>
    <row r="485">
      <c r="A485" s="154"/>
      <c r="B485" s="126"/>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c r="AD485" s="122"/>
    </row>
    <row r="486">
      <c r="A486" s="154"/>
      <c r="B486" s="126"/>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row>
    <row r="487">
      <c r="A487" s="154"/>
      <c r="B487" s="126"/>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2"/>
    </row>
    <row r="488">
      <c r="A488" s="154"/>
      <c r="B488" s="126"/>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c r="AD488" s="122"/>
    </row>
    <row r="489">
      <c r="A489" s="154"/>
      <c r="B489" s="126"/>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c r="AD489" s="122"/>
    </row>
    <row r="490">
      <c r="A490" s="154"/>
      <c r="B490" s="126"/>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c r="AD490" s="122"/>
    </row>
    <row r="491">
      <c r="A491" s="154"/>
      <c r="B491" s="126"/>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c r="AD491" s="122"/>
    </row>
    <row r="492">
      <c r="A492" s="154"/>
      <c r="B492" s="126"/>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2"/>
    </row>
    <row r="493">
      <c r="A493" s="154"/>
      <c r="B493" s="126"/>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c r="AD493" s="122"/>
    </row>
    <row r="494">
      <c r="A494" s="154"/>
      <c r="B494" s="126"/>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c r="AD494" s="122"/>
    </row>
    <row r="495">
      <c r="A495" s="154"/>
      <c r="B495" s="126"/>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c r="AD495" s="122"/>
    </row>
    <row r="496">
      <c r="A496" s="154"/>
      <c r="B496" s="126"/>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2"/>
    </row>
    <row r="497">
      <c r="A497" s="154"/>
      <c r="B497" s="126"/>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2"/>
    </row>
    <row r="498">
      <c r="A498" s="154"/>
      <c r="B498" s="126"/>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c r="AD498" s="122"/>
    </row>
    <row r="499">
      <c r="A499" s="154"/>
      <c r="B499" s="126"/>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c r="AD499" s="122"/>
    </row>
    <row r="500">
      <c r="A500" s="154"/>
      <c r="B500" s="126"/>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2"/>
    </row>
    <row r="501">
      <c r="A501" s="154"/>
      <c r="B501" s="126"/>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c r="AD501" s="122"/>
    </row>
    <row r="502">
      <c r="A502" s="154"/>
      <c r="B502" s="126"/>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2"/>
    </row>
    <row r="503">
      <c r="A503" s="154"/>
      <c r="B503" s="126"/>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c r="AD503" s="122"/>
    </row>
    <row r="504">
      <c r="A504" s="154"/>
      <c r="B504" s="126"/>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c r="AD504" s="122"/>
    </row>
    <row r="505">
      <c r="A505" s="154"/>
      <c r="B505" s="126"/>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c r="AD505" s="122"/>
    </row>
    <row r="506">
      <c r="A506" s="154"/>
      <c r="B506" s="126"/>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c r="AD506" s="122"/>
    </row>
    <row r="507">
      <c r="A507" s="154"/>
      <c r="B507" s="126"/>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2"/>
    </row>
    <row r="508">
      <c r="A508" s="154"/>
      <c r="B508" s="126"/>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c r="AD508" s="122"/>
    </row>
    <row r="509">
      <c r="A509" s="154"/>
      <c r="B509" s="126"/>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2"/>
    </row>
    <row r="510">
      <c r="A510" s="154"/>
      <c r="B510" s="126"/>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c r="AD510" s="122"/>
    </row>
    <row r="511">
      <c r="A511" s="154"/>
      <c r="B511" s="126"/>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c r="AD511" s="122"/>
    </row>
    <row r="512">
      <c r="A512" s="154"/>
      <c r="B512" s="126"/>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2"/>
    </row>
    <row r="513">
      <c r="A513" s="154"/>
      <c r="B513" s="126"/>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c r="AD513" s="122"/>
    </row>
    <row r="514">
      <c r="A514" s="154"/>
      <c r="B514" s="126"/>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c r="AD514" s="122"/>
    </row>
    <row r="515">
      <c r="A515" s="154"/>
      <c r="B515" s="126"/>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c r="AD515" s="122"/>
    </row>
    <row r="516">
      <c r="A516" s="154"/>
      <c r="B516" s="126"/>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c r="AD516" s="122"/>
    </row>
    <row r="517">
      <c r="A517" s="154"/>
      <c r="B517" s="126"/>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2"/>
    </row>
    <row r="518">
      <c r="A518" s="154"/>
      <c r="B518" s="126"/>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c r="AD518" s="122"/>
    </row>
    <row r="519">
      <c r="A519" s="154"/>
      <c r="B519" s="126"/>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c r="AD519" s="122"/>
    </row>
    <row r="520">
      <c r="A520" s="154"/>
      <c r="B520" s="126"/>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c r="AD520" s="122"/>
    </row>
    <row r="521">
      <c r="A521" s="154"/>
      <c r="B521" s="126"/>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c r="AD521" s="122"/>
    </row>
    <row r="522">
      <c r="A522" s="154"/>
      <c r="B522" s="126"/>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2"/>
    </row>
    <row r="523">
      <c r="A523" s="154"/>
      <c r="B523" s="126"/>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c r="AD523" s="122"/>
    </row>
    <row r="524">
      <c r="A524" s="154"/>
      <c r="B524" s="126"/>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c r="AD524" s="122"/>
    </row>
    <row r="525">
      <c r="A525" s="154"/>
      <c r="B525" s="126"/>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c r="AD525" s="122"/>
    </row>
    <row r="526">
      <c r="A526" s="154"/>
      <c r="B526" s="126"/>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c r="AD526" s="122"/>
    </row>
    <row r="527">
      <c r="A527" s="154"/>
      <c r="B527" s="126"/>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c r="AD527" s="122"/>
    </row>
    <row r="528">
      <c r="A528" s="154"/>
      <c r="B528" s="126"/>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c r="AD528" s="122"/>
    </row>
    <row r="529">
      <c r="A529" s="154"/>
      <c r="B529" s="126"/>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c r="AD529" s="122"/>
    </row>
    <row r="530">
      <c r="A530" s="154"/>
      <c r="B530" s="126"/>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c r="AD530" s="122"/>
    </row>
    <row r="531">
      <c r="A531" s="154"/>
      <c r="B531" s="126"/>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c r="AD531" s="122"/>
    </row>
    <row r="532">
      <c r="A532" s="154"/>
      <c r="B532" s="126"/>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c r="AD532" s="122"/>
    </row>
    <row r="533">
      <c r="A533" s="154"/>
      <c r="B533" s="126"/>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c r="AD533" s="122"/>
    </row>
    <row r="534">
      <c r="A534" s="154"/>
      <c r="B534" s="126"/>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c r="AD534" s="122"/>
    </row>
    <row r="535">
      <c r="A535" s="154"/>
      <c r="B535" s="126"/>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c r="AD535" s="122"/>
    </row>
    <row r="536">
      <c r="A536" s="154"/>
      <c r="B536" s="126"/>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c r="AD536" s="122"/>
    </row>
    <row r="537">
      <c r="A537" s="154"/>
      <c r="B537" s="126"/>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c r="AD537" s="122"/>
    </row>
    <row r="538">
      <c r="A538" s="154"/>
      <c r="B538" s="126"/>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c r="AD538" s="122"/>
    </row>
    <row r="539">
      <c r="A539" s="154"/>
      <c r="B539" s="126"/>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2"/>
    </row>
    <row r="540">
      <c r="A540" s="154"/>
      <c r="B540" s="126"/>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c r="AD540" s="122"/>
    </row>
    <row r="541">
      <c r="A541" s="154"/>
      <c r="B541" s="126"/>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2"/>
    </row>
    <row r="542">
      <c r="A542" s="154"/>
      <c r="B542" s="126"/>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c r="AD542" s="122"/>
    </row>
    <row r="543">
      <c r="A543" s="154"/>
      <c r="B543" s="126"/>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2"/>
    </row>
    <row r="544">
      <c r="A544" s="154"/>
      <c r="B544" s="126"/>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c r="AD544" s="122"/>
    </row>
    <row r="545">
      <c r="A545" s="154"/>
      <c r="B545" s="126"/>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c r="AD545" s="122"/>
    </row>
    <row r="546">
      <c r="A546" s="154"/>
      <c r="B546" s="126"/>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c r="AD546" s="122"/>
    </row>
    <row r="547">
      <c r="A547" s="154"/>
      <c r="B547" s="126"/>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c r="AD547" s="122"/>
    </row>
    <row r="548">
      <c r="A548" s="154"/>
      <c r="B548" s="126"/>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c r="AD548" s="122"/>
    </row>
    <row r="549">
      <c r="A549" s="154"/>
      <c r="B549" s="126"/>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c r="AD549" s="122"/>
    </row>
    <row r="550">
      <c r="A550" s="154"/>
      <c r="B550" s="126"/>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c r="AD550" s="122"/>
    </row>
    <row r="551">
      <c r="A551" s="154"/>
      <c r="B551" s="126"/>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c r="AD551" s="122"/>
    </row>
    <row r="552">
      <c r="A552" s="154"/>
      <c r="B552" s="126"/>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c r="AD552" s="122"/>
    </row>
    <row r="553">
      <c r="A553" s="154"/>
      <c r="B553" s="126"/>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c r="AD553" s="122"/>
    </row>
    <row r="554">
      <c r="A554" s="154"/>
      <c r="B554" s="126"/>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c r="AD554" s="122"/>
    </row>
    <row r="555">
      <c r="A555" s="154"/>
      <c r="B555" s="126"/>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c r="AD555" s="122"/>
    </row>
    <row r="556">
      <c r="A556" s="154"/>
      <c r="B556" s="126"/>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c r="AD556" s="122"/>
    </row>
    <row r="557">
      <c r="A557" s="154"/>
      <c r="B557" s="126"/>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c r="AD557" s="122"/>
    </row>
    <row r="558">
      <c r="A558" s="154"/>
      <c r="B558" s="126"/>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c r="AD558" s="122"/>
    </row>
    <row r="559">
      <c r="A559" s="154"/>
      <c r="B559" s="126"/>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c r="AD559" s="122"/>
    </row>
    <row r="560">
      <c r="A560" s="154"/>
      <c r="B560" s="126"/>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c r="AD560" s="122"/>
    </row>
    <row r="561">
      <c r="A561" s="154"/>
      <c r="B561" s="126"/>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c r="AD561" s="122"/>
    </row>
    <row r="562">
      <c r="A562" s="154"/>
      <c r="B562" s="126"/>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c r="AD562" s="122"/>
    </row>
    <row r="563">
      <c r="A563" s="154"/>
      <c r="B563" s="126"/>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c r="AD563" s="122"/>
    </row>
    <row r="564">
      <c r="A564" s="154"/>
      <c r="B564" s="126"/>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c r="AD564" s="122"/>
    </row>
    <row r="565">
      <c r="A565" s="154"/>
      <c r="B565" s="126"/>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c r="AD565" s="122"/>
    </row>
    <row r="566">
      <c r="A566" s="154"/>
      <c r="B566" s="126"/>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c r="AD566" s="122"/>
    </row>
    <row r="567">
      <c r="A567" s="154"/>
      <c r="B567" s="126"/>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c r="AD567" s="122"/>
    </row>
    <row r="568">
      <c r="A568" s="154"/>
      <c r="B568" s="126"/>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c r="AD568" s="122"/>
    </row>
    <row r="569">
      <c r="A569" s="154"/>
      <c r="B569" s="126"/>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c r="AD569" s="122"/>
    </row>
    <row r="570">
      <c r="A570" s="154"/>
      <c r="B570" s="126"/>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c r="AD570" s="122"/>
    </row>
    <row r="571">
      <c r="A571" s="154"/>
      <c r="B571" s="126"/>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c r="AD571" s="122"/>
    </row>
    <row r="572">
      <c r="A572" s="154"/>
      <c r="B572" s="126"/>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c r="AD572" s="122"/>
    </row>
    <row r="573">
      <c r="A573" s="154"/>
      <c r="B573" s="126"/>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c r="AD573" s="122"/>
    </row>
    <row r="574">
      <c r="A574" s="154"/>
      <c r="B574" s="126"/>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c r="AD574" s="122"/>
    </row>
    <row r="575">
      <c r="A575" s="154"/>
      <c r="B575" s="126"/>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2"/>
    </row>
    <row r="576">
      <c r="A576" s="154"/>
      <c r="B576" s="126"/>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c r="AD576" s="122"/>
    </row>
    <row r="577">
      <c r="A577" s="154"/>
      <c r="B577" s="126"/>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c r="AD577" s="122"/>
    </row>
    <row r="578">
      <c r="A578" s="154"/>
      <c r="B578" s="126"/>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c r="AD578" s="122"/>
    </row>
    <row r="579">
      <c r="A579" s="154"/>
      <c r="B579" s="126"/>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c r="AD579" s="122"/>
    </row>
    <row r="580">
      <c r="A580" s="154"/>
      <c r="B580" s="126"/>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c r="AD580" s="122"/>
    </row>
    <row r="581">
      <c r="A581" s="154"/>
      <c r="B581" s="126"/>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c r="AD581" s="122"/>
    </row>
    <row r="582">
      <c r="A582" s="154"/>
      <c r="B582" s="126"/>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c r="AD582" s="122"/>
    </row>
    <row r="583">
      <c r="A583" s="154"/>
      <c r="B583" s="126"/>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c r="AD583" s="122"/>
    </row>
    <row r="584">
      <c r="A584" s="154"/>
      <c r="B584" s="126"/>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c r="AD584" s="122"/>
    </row>
    <row r="585">
      <c r="A585" s="154"/>
      <c r="B585" s="126"/>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c r="AD585" s="122"/>
    </row>
    <row r="586">
      <c r="A586" s="154"/>
      <c r="B586" s="126"/>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c r="AD586" s="122"/>
    </row>
    <row r="587">
      <c r="A587" s="154"/>
      <c r="B587" s="126"/>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row>
    <row r="588">
      <c r="A588" s="154"/>
      <c r="B588" s="126"/>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row>
    <row r="589">
      <c r="A589" s="154"/>
      <c r="B589" s="126"/>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c r="AD589" s="122"/>
    </row>
    <row r="590">
      <c r="A590" s="154"/>
      <c r="B590" s="126"/>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c r="AD590" s="122"/>
    </row>
    <row r="591">
      <c r="A591" s="154"/>
      <c r="B591" s="126"/>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c r="AD591" s="122"/>
    </row>
    <row r="592">
      <c r="A592" s="154"/>
      <c r="B592" s="126"/>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c r="AD592" s="122"/>
    </row>
    <row r="593">
      <c r="A593" s="154"/>
      <c r="B593" s="126"/>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c r="AD593" s="122"/>
    </row>
    <row r="594">
      <c r="A594" s="154"/>
      <c r="B594" s="126"/>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2"/>
    </row>
    <row r="595">
      <c r="A595" s="154"/>
      <c r="B595" s="126"/>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c r="AD595" s="122"/>
    </row>
    <row r="596">
      <c r="A596" s="154"/>
      <c r="B596" s="126"/>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2"/>
    </row>
    <row r="597">
      <c r="A597" s="154"/>
      <c r="B597" s="126"/>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c r="AD597" s="122"/>
    </row>
    <row r="598">
      <c r="A598" s="154"/>
      <c r="B598" s="126"/>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c r="AD598" s="122"/>
    </row>
    <row r="599">
      <c r="A599" s="154"/>
      <c r="B599" s="126"/>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c r="AD599" s="122"/>
    </row>
    <row r="600">
      <c r="A600" s="154"/>
      <c r="B600" s="126"/>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c r="AD600" s="122"/>
    </row>
    <row r="601">
      <c r="A601" s="154"/>
      <c r="B601" s="126"/>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c r="AD601" s="122"/>
    </row>
    <row r="602">
      <c r="A602" s="154"/>
      <c r="B602" s="126"/>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row>
    <row r="603">
      <c r="A603" s="154"/>
      <c r="B603" s="126"/>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row>
    <row r="604">
      <c r="A604" s="154"/>
      <c r="B604" s="126"/>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c r="AD604" s="122"/>
    </row>
    <row r="605">
      <c r="A605" s="154"/>
      <c r="B605" s="126"/>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c r="AD605" s="122"/>
    </row>
    <row r="606">
      <c r="A606" s="154"/>
      <c r="B606" s="126"/>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c r="AD606" s="122"/>
    </row>
    <row r="607">
      <c r="A607" s="154"/>
      <c r="B607" s="126"/>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c r="AD607" s="122"/>
    </row>
    <row r="608">
      <c r="A608" s="154"/>
      <c r="B608" s="126"/>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c r="AD608" s="122"/>
    </row>
    <row r="609">
      <c r="A609" s="154"/>
      <c r="B609" s="126"/>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c r="AD609" s="122"/>
    </row>
    <row r="610">
      <c r="A610" s="154"/>
      <c r="B610" s="126"/>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c r="AD610" s="122"/>
    </row>
    <row r="611">
      <c r="A611" s="154"/>
      <c r="B611" s="126"/>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c r="AD611" s="122"/>
    </row>
    <row r="612">
      <c r="A612" s="154"/>
      <c r="B612" s="126"/>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c r="AD612" s="122"/>
    </row>
    <row r="613">
      <c r="A613" s="154"/>
      <c r="B613" s="126"/>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c r="AD613" s="122"/>
    </row>
    <row r="614">
      <c r="A614" s="154"/>
      <c r="B614" s="126"/>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c r="AD614" s="122"/>
    </row>
    <row r="615">
      <c r="A615" s="154"/>
      <c r="B615" s="126"/>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c r="AD615" s="122"/>
    </row>
    <row r="616">
      <c r="A616" s="154"/>
      <c r="B616" s="126"/>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c r="AD616" s="122"/>
    </row>
    <row r="617">
      <c r="A617" s="154"/>
      <c r="B617" s="126"/>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row>
    <row r="618">
      <c r="A618" s="154"/>
      <c r="B618" s="126"/>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c r="AD618" s="122"/>
    </row>
    <row r="619">
      <c r="A619" s="154"/>
      <c r="B619" s="126"/>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c r="AD619" s="122"/>
    </row>
    <row r="620">
      <c r="A620" s="154"/>
      <c r="B620" s="126"/>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c r="AD620" s="122"/>
    </row>
    <row r="621">
      <c r="A621" s="154"/>
      <c r="B621" s="126"/>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c r="AD621" s="122"/>
    </row>
    <row r="622">
      <c r="A622" s="154"/>
      <c r="B622" s="126"/>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c r="AD622" s="122"/>
    </row>
    <row r="623">
      <c r="A623" s="154"/>
      <c r="B623" s="126"/>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c r="AD623" s="122"/>
    </row>
    <row r="624">
      <c r="A624" s="154"/>
      <c r="B624" s="126"/>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c r="AD624" s="122"/>
    </row>
    <row r="625">
      <c r="A625" s="154"/>
      <c r="B625" s="126"/>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c r="AD625" s="122"/>
    </row>
    <row r="626">
      <c r="A626" s="154"/>
      <c r="B626" s="126"/>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c r="AD626" s="122"/>
    </row>
    <row r="627">
      <c r="A627" s="154"/>
      <c r="B627" s="126"/>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c r="AD627" s="122"/>
    </row>
    <row r="628">
      <c r="A628" s="154"/>
      <c r="B628" s="126"/>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c r="AD628" s="122"/>
    </row>
    <row r="629">
      <c r="A629" s="154"/>
      <c r="B629" s="126"/>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c r="AD629" s="122"/>
    </row>
    <row r="630">
      <c r="A630" s="154"/>
      <c r="B630" s="126"/>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c r="AD630" s="122"/>
    </row>
    <row r="631">
      <c r="A631" s="154"/>
      <c r="B631" s="126"/>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c r="AD631" s="122"/>
    </row>
    <row r="632">
      <c r="A632" s="154"/>
      <c r="B632" s="126"/>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c r="AD632" s="122"/>
    </row>
    <row r="633">
      <c r="A633" s="154"/>
      <c r="B633" s="126"/>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c r="AD633" s="122"/>
    </row>
    <row r="634">
      <c r="A634" s="154"/>
      <c r="B634" s="126"/>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c r="AD634" s="122"/>
    </row>
    <row r="635">
      <c r="A635" s="154"/>
      <c r="B635" s="126"/>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c r="AD635" s="122"/>
    </row>
    <row r="636">
      <c r="A636" s="154"/>
      <c r="B636" s="126"/>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c r="AD636" s="122"/>
    </row>
    <row r="637">
      <c r="A637" s="154"/>
      <c r="B637" s="126"/>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c r="AD637" s="122"/>
    </row>
    <row r="638">
      <c r="A638" s="154"/>
      <c r="B638" s="126"/>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c r="AD638" s="122"/>
    </row>
    <row r="639">
      <c r="A639" s="154"/>
      <c r="B639" s="126"/>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c r="AD639" s="122"/>
    </row>
    <row r="640">
      <c r="A640" s="154"/>
      <c r="B640" s="126"/>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c r="AD640" s="122"/>
    </row>
    <row r="641">
      <c r="A641" s="154"/>
      <c r="B641" s="126"/>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c r="AD641" s="122"/>
    </row>
    <row r="642">
      <c r="A642" s="154"/>
      <c r="B642" s="126"/>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c r="AD642" s="122"/>
    </row>
    <row r="643">
      <c r="A643" s="154"/>
      <c r="B643" s="126"/>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c r="AD643" s="122"/>
    </row>
    <row r="644">
      <c r="A644" s="154"/>
      <c r="B644" s="126"/>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c r="AD644" s="122"/>
    </row>
    <row r="645">
      <c r="A645" s="154"/>
      <c r="B645" s="126"/>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c r="AD645" s="122"/>
    </row>
    <row r="646">
      <c r="A646" s="154"/>
      <c r="B646" s="126"/>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c r="AD646" s="122"/>
    </row>
    <row r="647">
      <c r="A647" s="154"/>
      <c r="B647" s="126"/>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c r="AD647" s="122"/>
    </row>
    <row r="648">
      <c r="A648" s="154"/>
      <c r="B648" s="126"/>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2"/>
    </row>
    <row r="649">
      <c r="A649" s="154"/>
      <c r="B649" s="126"/>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c r="AD649" s="122"/>
    </row>
    <row r="650">
      <c r="A650" s="154"/>
      <c r="B650" s="126"/>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c r="AD650" s="122"/>
    </row>
    <row r="651">
      <c r="A651" s="154"/>
      <c r="B651" s="126"/>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c r="AD651" s="122"/>
    </row>
    <row r="652">
      <c r="A652" s="154"/>
      <c r="B652" s="126"/>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c r="AD652" s="122"/>
    </row>
    <row r="653">
      <c r="A653" s="154"/>
      <c r="B653" s="126"/>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c r="AD653" s="122"/>
    </row>
    <row r="654">
      <c r="A654" s="154"/>
      <c r="B654" s="126"/>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c r="AD654" s="122"/>
    </row>
    <row r="655">
      <c r="A655" s="154"/>
      <c r="B655" s="126"/>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c r="AD655" s="122"/>
    </row>
    <row r="656">
      <c r="A656" s="154"/>
      <c r="B656" s="126"/>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c r="AD656" s="122"/>
    </row>
    <row r="657">
      <c r="A657" s="154"/>
      <c r="B657" s="126"/>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c r="AD657" s="122"/>
    </row>
    <row r="658">
      <c r="A658" s="154"/>
      <c r="B658" s="126"/>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c r="AD658" s="122"/>
    </row>
    <row r="659">
      <c r="A659" s="154"/>
      <c r="B659" s="126"/>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c r="AD659" s="122"/>
    </row>
    <row r="660">
      <c r="A660" s="154"/>
      <c r="B660" s="126"/>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c r="AD660" s="122"/>
    </row>
    <row r="661">
      <c r="A661" s="154"/>
      <c r="B661" s="126"/>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c r="AD661" s="122"/>
    </row>
    <row r="662">
      <c r="A662" s="154"/>
      <c r="B662" s="126"/>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c r="AD662" s="122"/>
    </row>
    <row r="663">
      <c r="A663" s="154"/>
      <c r="B663" s="126"/>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c r="AD663" s="122"/>
    </row>
    <row r="664">
      <c r="A664" s="154"/>
      <c r="B664" s="126"/>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c r="AD664" s="122"/>
    </row>
    <row r="665">
      <c r="A665" s="154"/>
      <c r="B665" s="126"/>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c r="AD665" s="122"/>
    </row>
    <row r="666">
      <c r="A666" s="154"/>
      <c r="B666" s="126"/>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c r="AD666" s="122"/>
    </row>
    <row r="667">
      <c r="A667" s="154"/>
      <c r="B667" s="126"/>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c r="AD667" s="122"/>
    </row>
    <row r="668">
      <c r="A668" s="154"/>
      <c r="B668" s="126"/>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row>
    <row r="669">
      <c r="A669" s="154"/>
      <c r="B669" s="126"/>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c r="AD669" s="122"/>
    </row>
    <row r="670">
      <c r="A670" s="154"/>
      <c r="B670" s="126"/>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2"/>
    </row>
    <row r="671">
      <c r="A671" s="154"/>
      <c r="B671" s="126"/>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c r="AD671" s="122"/>
    </row>
    <row r="672">
      <c r="A672" s="154"/>
      <c r="B672" s="126"/>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row>
    <row r="673">
      <c r="A673" s="154"/>
      <c r="B673" s="126"/>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row>
    <row r="674">
      <c r="A674" s="154"/>
      <c r="B674" s="126"/>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row>
    <row r="675">
      <c r="A675" s="154"/>
      <c r="B675" s="126"/>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2"/>
    </row>
    <row r="676">
      <c r="A676" s="154"/>
      <c r="B676" s="126"/>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2"/>
    </row>
    <row r="677">
      <c r="A677" s="154"/>
      <c r="B677" s="126"/>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c r="AD677" s="122"/>
    </row>
    <row r="678">
      <c r="A678" s="154"/>
      <c r="B678" s="126"/>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row>
    <row r="679">
      <c r="A679" s="154"/>
      <c r="B679" s="126"/>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c r="AD679" s="122"/>
    </row>
    <row r="680">
      <c r="A680" s="154"/>
      <c r="B680" s="126"/>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2"/>
    </row>
    <row r="681">
      <c r="A681" s="154"/>
      <c r="B681" s="126"/>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c r="AD681" s="122"/>
    </row>
    <row r="682">
      <c r="A682" s="154"/>
      <c r="B682" s="126"/>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c r="AD682" s="122"/>
    </row>
    <row r="683">
      <c r="A683" s="154"/>
      <c r="B683" s="126"/>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row>
    <row r="684">
      <c r="A684" s="154"/>
      <c r="B684" s="126"/>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c r="AD684" s="122"/>
    </row>
    <row r="685">
      <c r="A685" s="154"/>
      <c r="B685" s="126"/>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c r="AD685" s="122"/>
    </row>
    <row r="686">
      <c r="A686" s="154"/>
      <c r="B686" s="126"/>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c r="AD686" s="122"/>
    </row>
    <row r="687">
      <c r="A687" s="154"/>
      <c r="B687" s="126"/>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row>
    <row r="688">
      <c r="A688" s="154"/>
      <c r="B688" s="126"/>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row>
    <row r="689">
      <c r="A689" s="154"/>
      <c r="B689" s="126"/>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row>
    <row r="690">
      <c r="A690" s="154"/>
      <c r="B690" s="126"/>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c r="AD690" s="122"/>
    </row>
    <row r="691">
      <c r="A691" s="154"/>
      <c r="B691" s="126"/>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c r="AD691" s="122"/>
    </row>
    <row r="692">
      <c r="A692" s="154"/>
      <c r="B692" s="126"/>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c r="AD692" s="122"/>
    </row>
    <row r="693">
      <c r="A693" s="154"/>
      <c r="B693" s="126"/>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row>
    <row r="694">
      <c r="A694" s="154"/>
      <c r="B694" s="126"/>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c r="AD694" s="122"/>
    </row>
    <row r="695">
      <c r="A695" s="154"/>
      <c r="B695" s="126"/>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c r="AD695" s="122"/>
    </row>
    <row r="696">
      <c r="A696" s="154"/>
      <c r="B696" s="126"/>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c r="AD696" s="122"/>
    </row>
    <row r="697">
      <c r="A697" s="154"/>
      <c r="B697" s="126"/>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c r="AD697" s="122"/>
    </row>
    <row r="698">
      <c r="A698" s="154"/>
      <c r="B698" s="126"/>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c r="AD698" s="122"/>
    </row>
    <row r="699">
      <c r="A699" s="154"/>
      <c r="B699" s="126"/>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c r="AD699" s="122"/>
    </row>
    <row r="700">
      <c r="A700" s="154"/>
      <c r="B700" s="126"/>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c r="AD700" s="122"/>
    </row>
    <row r="701">
      <c r="A701" s="154"/>
      <c r="B701" s="126"/>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c r="AD701" s="122"/>
    </row>
    <row r="702">
      <c r="A702" s="154"/>
      <c r="B702" s="126"/>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c r="AD702" s="122"/>
    </row>
    <row r="703">
      <c r="A703" s="154"/>
      <c r="B703" s="126"/>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c r="AD703" s="122"/>
    </row>
    <row r="704">
      <c r="A704" s="154"/>
      <c r="B704" s="126"/>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c r="AD704" s="122"/>
    </row>
    <row r="705">
      <c r="A705" s="154"/>
      <c r="B705" s="126"/>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c r="AD705" s="122"/>
    </row>
    <row r="706">
      <c r="A706" s="154"/>
      <c r="B706" s="126"/>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c r="AD706" s="122"/>
    </row>
    <row r="707">
      <c r="A707" s="154"/>
      <c r="B707" s="126"/>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c r="AD707" s="122"/>
    </row>
    <row r="708">
      <c r="A708" s="154"/>
      <c r="B708" s="126"/>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c r="AD708" s="122"/>
    </row>
    <row r="709">
      <c r="A709" s="154"/>
      <c r="B709" s="126"/>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c r="AD709" s="122"/>
    </row>
    <row r="710">
      <c r="A710" s="154"/>
      <c r="B710" s="126"/>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c r="AD710" s="122"/>
    </row>
    <row r="711">
      <c r="A711" s="154"/>
      <c r="B711" s="126"/>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c r="AD711" s="122"/>
    </row>
    <row r="712">
      <c r="A712" s="154"/>
      <c r="B712" s="126"/>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c r="AD712" s="122"/>
    </row>
    <row r="713">
      <c r="A713" s="154"/>
      <c r="B713" s="126"/>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c r="AD713" s="122"/>
    </row>
    <row r="714">
      <c r="A714" s="154"/>
      <c r="B714" s="126"/>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c r="AD714" s="122"/>
    </row>
    <row r="715">
      <c r="A715" s="154"/>
      <c r="B715" s="126"/>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c r="AD715" s="122"/>
    </row>
    <row r="716">
      <c r="A716" s="154"/>
      <c r="B716" s="126"/>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c r="AD716" s="122"/>
    </row>
    <row r="717">
      <c r="A717" s="154"/>
      <c r="B717" s="126"/>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c r="AD717" s="122"/>
    </row>
    <row r="718">
      <c r="A718" s="154"/>
      <c r="B718" s="126"/>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c r="AD718" s="122"/>
    </row>
    <row r="719">
      <c r="A719" s="154"/>
      <c r="B719" s="126"/>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c r="AD719" s="122"/>
    </row>
    <row r="720">
      <c r="A720" s="154"/>
      <c r="B720" s="126"/>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c r="AD720" s="122"/>
    </row>
    <row r="721">
      <c r="A721" s="154"/>
      <c r="B721" s="126"/>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c r="AD721" s="122"/>
    </row>
    <row r="722">
      <c r="A722" s="154"/>
      <c r="B722" s="126"/>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c r="AD722" s="122"/>
    </row>
    <row r="723">
      <c r="A723" s="154"/>
      <c r="B723" s="126"/>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c r="AD723" s="122"/>
    </row>
    <row r="724">
      <c r="A724" s="154"/>
      <c r="B724" s="126"/>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c r="AD724" s="122"/>
    </row>
    <row r="725">
      <c r="A725" s="154"/>
      <c r="B725" s="126"/>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c r="AD725" s="122"/>
    </row>
    <row r="726">
      <c r="A726" s="154"/>
      <c r="B726" s="126"/>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c r="AD726" s="122"/>
    </row>
    <row r="727">
      <c r="A727" s="154"/>
      <c r="B727" s="126"/>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c r="AD727" s="122"/>
    </row>
    <row r="728">
      <c r="A728" s="154"/>
      <c r="B728" s="126"/>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c r="AD728" s="122"/>
    </row>
    <row r="729">
      <c r="A729" s="154"/>
      <c r="B729" s="126"/>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c r="AD729" s="122"/>
    </row>
    <row r="730">
      <c r="A730" s="154"/>
      <c r="B730" s="126"/>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c r="AD730" s="122"/>
    </row>
    <row r="731">
      <c r="A731" s="154"/>
      <c r="B731" s="126"/>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c r="AD731" s="122"/>
    </row>
    <row r="732">
      <c r="A732" s="154"/>
      <c r="B732" s="126"/>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c r="AD732" s="122"/>
    </row>
    <row r="733">
      <c r="A733" s="154"/>
      <c r="B733" s="126"/>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c r="AD733" s="122"/>
    </row>
    <row r="734">
      <c r="A734" s="154"/>
      <c r="B734" s="126"/>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c r="AD734" s="122"/>
    </row>
    <row r="735">
      <c r="A735" s="154"/>
      <c r="B735" s="126"/>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c r="AD735" s="122"/>
    </row>
    <row r="736">
      <c r="A736" s="154"/>
      <c r="B736" s="126"/>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c r="AD736" s="122"/>
    </row>
    <row r="737">
      <c r="A737" s="154"/>
      <c r="B737" s="126"/>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c r="AD737" s="122"/>
    </row>
    <row r="738">
      <c r="A738" s="154"/>
      <c r="B738" s="126"/>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c r="AD738" s="122"/>
    </row>
    <row r="739">
      <c r="A739" s="154"/>
      <c r="B739" s="126"/>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c r="AD739" s="122"/>
    </row>
    <row r="740">
      <c r="A740" s="154"/>
      <c r="B740" s="126"/>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c r="AD740" s="122"/>
    </row>
    <row r="741">
      <c r="A741" s="154"/>
      <c r="B741" s="126"/>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c r="AD741" s="122"/>
    </row>
    <row r="742">
      <c r="A742" s="154"/>
      <c r="B742" s="126"/>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c r="AD742" s="122"/>
    </row>
    <row r="743">
      <c r="A743" s="154"/>
      <c r="B743" s="126"/>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c r="AD743" s="122"/>
    </row>
    <row r="744">
      <c r="A744" s="154"/>
      <c r="B744" s="126"/>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c r="AD744" s="122"/>
    </row>
    <row r="745">
      <c r="A745" s="154"/>
      <c r="B745" s="126"/>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c r="AD745" s="122"/>
    </row>
    <row r="746">
      <c r="A746" s="154"/>
      <c r="B746" s="126"/>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c r="AD746" s="122"/>
    </row>
    <row r="747">
      <c r="A747" s="154"/>
      <c r="B747" s="126"/>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c r="AD747" s="122"/>
    </row>
    <row r="748">
      <c r="A748" s="154"/>
      <c r="B748" s="126"/>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c r="AD748" s="122"/>
    </row>
    <row r="749">
      <c r="A749" s="154"/>
      <c r="B749" s="126"/>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c r="AD749" s="122"/>
    </row>
    <row r="750">
      <c r="A750" s="154"/>
      <c r="B750" s="126"/>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c r="AD750" s="122"/>
    </row>
    <row r="751">
      <c r="A751" s="154"/>
      <c r="B751" s="126"/>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c r="AD751" s="122"/>
    </row>
    <row r="752">
      <c r="A752" s="154"/>
      <c r="B752" s="126"/>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2"/>
    </row>
    <row r="753">
      <c r="A753" s="154"/>
      <c r="B753" s="126"/>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c r="AD753" s="122"/>
    </row>
    <row r="754">
      <c r="A754" s="154"/>
      <c r="B754" s="126"/>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c r="AD754" s="122"/>
    </row>
    <row r="755">
      <c r="A755" s="154"/>
      <c r="B755" s="126"/>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c r="AD755" s="122"/>
    </row>
    <row r="756">
      <c r="A756" s="154"/>
      <c r="B756" s="126"/>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c r="AD756" s="122"/>
    </row>
    <row r="757">
      <c r="A757" s="154"/>
      <c r="B757" s="126"/>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c r="AD757" s="122"/>
    </row>
    <row r="758">
      <c r="A758" s="154"/>
      <c r="B758" s="126"/>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c r="AD758" s="122"/>
    </row>
    <row r="759">
      <c r="A759" s="154"/>
      <c r="B759" s="126"/>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c r="AD759" s="122"/>
    </row>
    <row r="760">
      <c r="A760" s="154"/>
      <c r="B760" s="126"/>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c r="AD760" s="122"/>
    </row>
    <row r="761">
      <c r="A761" s="154"/>
      <c r="B761" s="126"/>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c r="AD761" s="122"/>
    </row>
    <row r="762">
      <c r="A762" s="154"/>
      <c r="B762" s="126"/>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c r="AD762" s="122"/>
    </row>
    <row r="763">
      <c r="A763" s="154"/>
      <c r="B763" s="126"/>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c r="AD763" s="122"/>
    </row>
    <row r="764">
      <c r="A764" s="154"/>
      <c r="B764" s="126"/>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c r="AD764" s="122"/>
    </row>
    <row r="765">
      <c r="A765" s="154"/>
      <c r="B765" s="126"/>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c r="AD765" s="122"/>
    </row>
    <row r="766">
      <c r="A766" s="154"/>
      <c r="B766" s="126"/>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c r="AD766" s="122"/>
    </row>
    <row r="767">
      <c r="A767" s="154"/>
      <c r="B767" s="126"/>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c r="AD767" s="122"/>
    </row>
    <row r="768">
      <c r="A768" s="154"/>
      <c r="B768" s="126"/>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c r="AD768" s="122"/>
    </row>
    <row r="769">
      <c r="A769" s="154"/>
      <c r="B769" s="126"/>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c r="AD769" s="122"/>
    </row>
    <row r="770">
      <c r="A770" s="154"/>
      <c r="B770" s="126"/>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c r="AD770" s="122"/>
    </row>
    <row r="771">
      <c r="A771" s="154"/>
      <c r="B771" s="126"/>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c r="AD771" s="122"/>
    </row>
    <row r="772">
      <c r="A772" s="154"/>
      <c r="B772" s="126"/>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c r="AD772" s="122"/>
    </row>
    <row r="773">
      <c r="A773" s="154"/>
      <c r="B773" s="126"/>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c r="AD773" s="122"/>
    </row>
    <row r="774">
      <c r="A774" s="154"/>
      <c r="B774" s="126"/>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c r="AD774" s="122"/>
    </row>
    <row r="775">
      <c r="A775" s="154"/>
      <c r="B775" s="126"/>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c r="AD775" s="122"/>
    </row>
    <row r="776">
      <c r="A776" s="154"/>
      <c r="B776" s="126"/>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c r="AD776" s="122"/>
    </row>
    <row r="777">
      <c r="A777" s="154"/>
      <c r="B777" s="126"/>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c r="AD777" s="122"/>
    </row>
    <row r="778">
      <c r="A778" s="154"/>
      <c r="B778" s="126"/>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c r="AD778" s="122"/>
    </row>
    <row r="779">
      <c r="A779" s="154"/>
      <c r="B779" s="126"/>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c r="AD779" s="122"/>
    </row>
    <row r="780">
      <c r="A780" s="154"/>
      <c r="B780" s="126"/>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c r="AD780" s="122"/>
    </row>
    <row r="781">
      <c r="A781" s="154"/>
      <c r="B781" s="126"/>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c r="AD781" s="122"/>
    </row>
    <row r="782">
      <c r="A782" s="154"/>
      <c r="B782" s="126"/>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c r="AD782" s="122"/>
    </row>
    <row r="783">
      <c r="A783" s="154"/>
      <c r="B783" s="126"/>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c r="AD783" s="122"/>
    </row>
    <row r="784">
      <c r="A784" s="154"/>
      <c r="B784" s="126"/>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c r="AD784" s="122"/>
    </row>
    <row r="785">
      <c r="A785" s="154"/>
      <c r="B785" s="126"/>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c r="AD785" s="122"/>
    </row>
    <row r="786">
      <c r="A786" s="154"/>
      <c r="B786" s="126"/>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c r="AD786" s="122"/>
    </row>
    <row r="787">
      <c r="A787" s="154"/>
      <c r="B787" s="126"/>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c r="AD787" s="122"/>
    </row>
    <row r="788">
      <c r="A788" s="154"/>
      <c r="B788" s="126"/>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c r="AD788" s="122"/>
    </row>
    <row r="789">
      <c r="A789" s="154"/>
      <c r="B789" s="126"/>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c r="AD789" s="122"/>
    </row>
    <row r="790">
      <c r="A790" s="154"/>
      <c r="B790" s="126"/>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c r="AD790" s="122"/>
    </row>
    <row r="791">
      <c r="A791" s="154"/>
      <c r="B791" s="126"/>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c r="AD791" s="122"/>
    </row>
    <row r="792">
      <c r="A792" s="154"/>
      <c r="B792" s="126"/>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c r="AD792" s="122"/>
    </row>
    <row r="793">
      <c r="A793" s="154"/>
      <c r="B793" s="126"/>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c r="AD793" s="122"/>
    </row>
    <row r="794">
      <c r="A794" s="154"/>
      <c r="B794" s="126"/>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c r="AD794" s="122"/>
    </row>
    <row r="795">
      <c r="A795" s="154"/>
      <c r="B795" s="126"/>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c r="AD795" s="122"/>
    </row>
    <row r="796">
      <c r="A796" s="154"/>
      <c r="B796" s="126"/>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c r="AD796" s="122"/>
    </row>
    <row r="797">
      <c r="A797" s="154"/>
      <c r="B797" s="126"/>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c r="AD797" s="122"/>
    </row>
    <row r="798">
      <c r="A798" s="154"/>
      <c r="B798" s="126"/>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c r="AD798" s="122"/>
    </row>
    <row r="799">
      <c r="A799" s="154"/>
      <c r="B799" s="126"/>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c r="AD799" s="122"/>
    </row>
    <row r="800">
      <c r="A800" s="154"/>
      <c r="B800" s="126"/>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c r="AD800" s="122"/>
    </row>
    <row r="801">
      <c r="A801" s="154"/>
      <c r="B801" s="126"/>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c r="AD801" s="122"/>
    </row>
    <row r="802">
      <c r="A802" s="154"/>
      <c r="B802" s="126"/>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c r="AD802" s="122"/>
    </row>
    <row r="803">
      <c r="A803" s="154"/>
      <c r="B803" s="126"/>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c r="AD803" s="122"/>
    </row>
    <row r="804">
      <c r="A804" s="154"/>
      <c r="B804" s="126"/>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c r="AD804" s="122"/>
    </row>
    <row r="805">
      <c r="A805" s="154"/>
      <c r="B805" s="126"/>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c r="AD805" s="122"/>
    </row>
    <row r="806">
      <c r="A806" s="154"/>
      <c r="B806" s="126"/>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c r="AD806" s="122"/>
    </row>
    <row r="807">
      <c r="A807" s="154"/>
      <c r="B807" s="126"/>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c r="AD807" s="122"/>
    </row>
    <row r="808">
      <c r="A808" s="154"/>
      <c r="B808" s="126"/>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c r="AD808" s="122"/>
    </row>
    <row r="809">
      <c r="A809" s="154"/>
      <c r="B809" s="126"/>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c r="AD809" s="122"/>
    </row>
    <row r="810">
      <c r="A810" s="154"/>
      <c r="B810" s="126"/>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c r="AD810" s="122"/>
    </row>
    <row r="811">
      <c r="A811" s="154"/>
      <c r="B811" s="126"/>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c r="AD811" s="122"/>
    </row>
    <row r="812">
      <c r="A812" s="154"/>
      <c r="B812" s="126"/>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c r="AD812" s="122"/>
    </row>
    <row r="813">
      <c r="A813" s="154"/>
      <c r="B813" s="126"/>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c r="AD813" s="122"/>
    </row>
    <row r="814">
      <c r="A814" s="154"/>
      <c r="B814" s="126"/>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c r="AD814" s="122"/>
    </row>
    <row r="815">
      <c r="A815" s="154"/>
      <c r="B815" s="126"/>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c r="AD815" s="122"/>
    </row>
    <row r="816">
      <c r="A816" s="154"/>
      <c r="B816" s="126"/>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c r="AD816" s="122"/>
    </row>
    <row r="817">
      <c r="A817" s="154"/>
      <c r="B817" s="126"/>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c r="AD817" s="122"/>
    </row>
    <row r="818">
      <c r="A818" s="154"/>
      <c r="B818" s="126"/>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c r="AD818" s="122"/>
    </row>
    <row r="819">
      <c r="A819" s="154"/>
      <c r="B819" s="126"/>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c r="AD819" s="122"/>
    </row>
    <row r="820">
      <c r="A820" s="154"/>
      <c r="B820" s="126"/>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c r="AD820" s="122"/>
    </row>
    <row r="821">
      <c r="A821" s="154"/>
      <c r="B821" s="126"/>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c r="AD821" s="122"/>
    </row>
    <row r="822">
      <c r="A822" s="154"/>
      <c r="B822" s="126"/>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c r="AD822" s="122"/>
    </row>
    <row r="823">
      <c r="A823" s="154"/>
      <c r="B823" s="126"/>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c r="AD823" s="122"/>
    </row>
    <row r="824">
      <c r="A824" s="154"/>
      <c r="B824" s="126"/>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c r="AD824" s="122"/>
    </row>
    <row r="825">
      <c r="A825" s="154"/>
      <c r="B825" s="126"/>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c r="AD825" s="122"/>
    </row>
    <row r="826">
      <c r="A826" s="154"/>
      <c r="B826" s="126"/>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c r="AD826" s="122"/>
    </row>
    <row r="827">
      <c r="A827" s="154"/>
      <c r="B827" s="126"/>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c r="AD827" s="122"/>
    </row>
    <row r="828">
      <c r="A828" s="154"/>
      <c r="B828" s="126"/>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c r="AD828" s="122"/>
    </row>
    <row r="829">
      <c r="A829" s="154"/>
      <c r="B829" s="126"/>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c r="AD829" s="122"/>
    </row>
    <row r="830">
      <c r="A830" s="154"/>
      <c r="B830" s="126"/>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c r="AD830" s="122"/>
    </row>
    <row r="831">
      <c r="A831" s="154"/>
      <c r="B831" s="126"/>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c r="AD831" s="122"/>
    </row>
    <row r="832">
      <c r="A832" s="154"/>
      <c r="B832" s="126"/>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c r="AD832" s="122"/>
    </row>
    <row r="833">
      <c r="A833" s="154"/>
      <c r="B833" s="126"/>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c r="AD833" s="122"/>
    </row>
    <row r="834">
      <c r="A834" s="154"/>
      <c r="B834" s="126"/>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c r="AD834" s="122"/>
    </row>
    <row r="835">
      <c r="A835" s="154"/>
      <c r="B835" s="126"/>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c r="AD835" s="122"/>
    </row>
    <row r="836">
      <c r="A836" s="154"/>
      <c r="B836" s="126"/>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c r="AD836" s="122"/>
    </row>
    <row r="837">
      <c r="A837" s="154"/>
      <c r="B837" s="126"/>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c r="AD837" s="122"/>
    </row>
    <row r="838">
      <c r="A838" s="154"/>
      <c r="B838" s="126"/>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c r="AD838" s="122"/>
    </row>
    <row r="839">
      <c r="A839" s="154"/>
      <c r="B839" s="126"/>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c r="AD839" s="122"/>
    </row>
    <row r="840">
      <c r="A840" s="154"/>
      <c r="B840" s="126"/>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c r="AD840" s="122"/>
    </row>
    <row r="841">
      <c r="A841" s="154"/>
      <c r="B841" s="126"/>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c r="AD841" s="122"/>
    </row>
    <row r="842">
      <c r="A842" s="154"/>
      <c r="B842" s="126"/>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c r="AD842" s="122"/>
    </row>
    <row r="843">
      <c r="A843" s="154"/>
      <c r="B843" s="126"/>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c r="AD843" s="122"/>
    </row>
    <row r="844">
      <c r="A844" s="154"/>
      <c r="B844" s="126"/>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c r="AD844" s="122"/>
    </row>
    <row r="845">
      <c r="A845" s="154"/>
      <c r="B845" s="126"/>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c r="AD845" s="122"/>
    </row>
    <row r="846">
      <c r="A846" s="154"/>
      <c r="B846" s="126"/>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c r="AD846" s="122"/>
    </row>
    <row r="847">
      <c r="A847" s="154"/>
      <c r="B847" s="126"/>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c r="AD847" s="122"/>
    </row>
    <row r="848">
      <c r="A848" s="154"/>
      <c r="B848" s="126"/>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c r="AD848" s="122"/>
    </row>
    <row r="849">
      <c r="A849" s="154"/>
      <c r="B849" s="126"/>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c r="AD849" s="122"/>
    </row>
    <row r="850">
      <c r="A850" s="154"/>
      <c r="B850" s="126"/>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c r="AD850" s="122"/>
    </row>
    <row r="851">
      <c r="A851" s="154"/>
      <c r="B851" s="126"/>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c r="AD851" s="122"/>
    </row>
    <row r="852">
      <c r="A852" s="154"/>
      <c r="B852" s="126"/>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c r="AD852" s="122"/>
    </row>
    <row r="853">
      <c r="A853" s="154"/>
      <c r="B853" s="126"/>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c r="AD853" s="122"/>
    </row>
    <row r="854">
      <c r="A854" s="154"/>
      <c r="B854" s="126"/>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c r="AD854" s="122"/>
    </row>
    <row r="855">
      <c r="A855" s="154"/>
      <c r="B855" s="126"/>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c r="AD855" s="122"/>
    </row>
    <row r="856">
      <c r="A856" s="154"/>
      <c r="B856" s="126"/>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c r="AD856" s="122"/>
    </row>
    <row r="857">
      <c r="A857" s="154"/>
      <c r="B857" s="126"/>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c r="AD857" s="122"/>
    </row>
    <row r="858">
      <c r="A858" s="154"/>
      <c r="B858" s="126"/>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c r="AD858" s="122"/>
    </row>
    <row r="859">
      <c r="A859" s="154"/>
      <c r="B859" s="126"/>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c r="AD859" s="122"/>
    </row>
    <row r="860">
      <c r="A860" s="154"/>
      <c r="B860" s="126"/>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c r="AD860" s="122"/>
    </row>
    <row r="861">
      <c r="A861" s="154"/>
      <c r="B861" s="126"/>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c r="AD861" s="122"/>
    </row>
    <row r="862">
      <c r="A862" s="154"/>
      <c r="B862" s="126"/>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c r="AD862" s="122"/>
    </row>
    <row r="863">
      <c r="A863" s="154"/>
      <c r="B863" s="126"/>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c r="AD863" s="122"/>
    </row>
    <row r="864">
      <c r="A864" s="154"/>
      <c r="B864" s="126"/>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c r="AD864" s="122"/>
    </row>
    <row r="865">
      <c r="A865" s="154"/>
      <c r="B865" s="126"/>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c r="AD865" s="122"/>
    </row>
    <row r="866">
      <c r="A866" s="154"/>
      <c r="B866" s="126"/>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c r="AD866" s="122"/>
    </row>
    <row r="867">
      <c r="A867" s="154"/>
      <c r="B867" s="126"/>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c r="AD867" s="122"/>
    </row>
    <row r="868">
      <c r="A868" s="154"/>
      <c r="B868" s="126"/>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c r="AD868" s="122"/>
    </row>
    <row r="869">
      <c r="A869" s="154"/>
      <c r="B869" s="126"/>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c r="AD869" s="122"/>
    </row>
    <row r="870">
      <c r="A870" s="154"/>
      <c r="B870" s="126"/>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c r="AD870" s="122"/>
    </row>
    <row r="871">
      <c r="A871" s="154"/>
      <c r="B871" s="126"/>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c r="AD871" s="122"/>
    </row>
    <row r="872">
      <c r="A872" s="154"/>
      <c r="B872" s="126"/>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c r="AD872" s="122"/>
    </row>
    <row r="873">
      <c r="A873" s="154"/>
      <c r="B873" s="126"/>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c r="AD873" s="122"/>
    </row>
    <row r="874">
      <c r="A874" s="154"/>
      <c r="B874" s="126"/>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c r="AD874" s="122"/>
    </row>
    <row r="875">
      <c r="A875" s="154"/>
      <c r="B875" s="126"/>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c r="AD875" s="122"/>
    </row>
    <row r="876">
      <c r="A876" s="154"/>
      <c r="B876" s="126"/>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c r="AD876" s="122"/>
    </row>
    <row r="877">
      <c r="A877" s="154"/>
      <c r="B877" s="126"/>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c r="AD877" s="122"/>
    </row>
    <row r="878">
      <c r="A878" s="154"/>
      <c r="B878" s="126"/>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c r="AD878" s="122"/>
    </row>
    <row r="879">
      <c r="A879" s="154"/>
      <c r="B879" s="126"/>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c r="AD879" s="122"/>
    </row>
    <row r="880">
      <c r="A880" s="154"/>
      <c r="B880" s="126"/>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c r="AD880" s="122"/>
    </row>
    <row r="881">
      <c r="A881" s="154"/>
      <c r="B881" s="126"/>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c r="AD881" s="122"/>
    </row>
    <row r="882">
      <c r="A882" s="154"/>
      <c r="B882" s="126"/>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c r="AD882" s="122"/>
    </row>
    <row r="883">
      <c r="A883" s="154"/>
      <c r="B883" s="126"/>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c r="AD883" s="122"/>
    </row>
    <row r="884">
      <c r="A884" s="154"/>
      <c r="B884" s="126"/>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c r="AD884" s="122"/>
    </row>
    <row r="885">
      <c r="A885" s="154"/>
      <c r="B885" s="126"/>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c r="AD885" s="122"/>
    </row>
    <row r="886">
      <c r="A886" s="154"/>
      <c r="B886" s="126"/>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c r="AD886" s="122"/>
    </row>
    <row r="887">
      <c r="A887" s="154"/>
      <c r="B887" s="126"/>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c r="AD887" s="122"/>
    </row>
    <row r="888">
      <c r="A888" s="154"/>
      <c r="B888" s="126"/>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c r="AD888" s="122"/>
    </row>
    <row r="889">
      <c r="A889" s="154"/>
      <c r="B889" s="126"/>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c r="AD889" s="122"/>
    </row>
    <row r="890">
      <c r="A890" s="154"/>
      <c r="B890" s="126"/>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c r="AD890" s="122"/>
    </row>
    <row r="891">
      <c r="A891" s="154"/>
      <c r="B891" s="126"/>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c r="AD891" s="122"/>
    </row>
    <row r="892">
      <c r="A892" s="154"/>
      <c r="B892" s="126"/>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c r="AD892" s="122"/>
    </row>
    <row r="893">
      <c r="A893" s="154"/>
      <c r="B893" s="126"/>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c r="AD893" s="122"/>
    </row>
    <row r="894">
      <c r="A894" s="154"/>
      <c r="B894" s="126"/>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c r="AD894" s="122"/>
    </row>
    <row r="895">
      <c r="A895" s="154"/>
      <c r="B895" s="126"/>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c r="AD895" s="122"/>
    </row>
    <row r="896">
      <c r="A896" s="154"/>
      <c r="B896" s="126"/>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c r="AD896" s="122"/>
    </row>
    <row r="897">
      <c r="A897" s="154"/>
      <c r="B897" s="126"/>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c r="AD897" s="122"/>
    </row>
    <row r="898">
      <c r="A898" s="154"/>
      <c r="B898" s="126"/>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c r="AD898" s="122"/>
    </row>
    <row r="899">
      <c r="A899" s="154"/>
      <c r="B899" s="126"/>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c r="AD899" s="122"/>
    </row>
    <row r="900">
      <c r="A900" s="154"/>
      <c r="B900" s="126"/>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c r="AD900" s="122"/>
    </row>
    <row r="901">
      <c r="A901" s="154"/>
      <c r="B901" s="126"/>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c r="AD901" s="122"/>
    </row>
    <row r="902">
      <c r="A902" s="154"/>
      <c r="B902" s="126"/>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c r="AD902" s="122"/>
    </row>
    <row r="903">
      <c r="A903" s="154"/>
      <c r="B903" s="126"/>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c r="AD903" s="122"/>
    </row>
    <row r="904">
      <c r="A904" s="154"/>
      <c r="B904" s="126"/>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c r="AD904" s="122"/>
    </row>
    <row r="905">
      <c r="A905" s="154"/>
      <c r="B905" s="126"/>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c r="AD905" s="122"/>
    </row>
    <row r="906">
      <c r="A906" s="154"/>
      <c r="B906" s="126"/>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c r="AD906" s="122"/>
    </row>
    <row r="907">
      <c r="A907" s="154"/>
      <c r="B907" s="126"/>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c r="AD907" s="122"/>
    </row>
    <row r="908">
      <c r="A908" s="154"/>
      <c r="B908" s="126"/>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c r="AD908" s="122"/>
    </row>
    <row r="909">
      <c r="A909" s="154"/>
      <c r="B909" s="126"/>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c r="AD909" s="122"/>
    </row>
    <row r="910">
      <c r="A910" s="154"/>
      <c r="B910" s="126"/>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row>
    <row r="911">
      <c r="A911" s="154"/>
      <c r="B911" s="126"/>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row>
    <row r="912">
      <c r="A912" s="154"/>
      <c r="B912" s="126"/>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c r="AD912" s="122"/>
    </row>
    <row r="913">
      <c r="A913" s="154"/>
      <c r="B913" s="126"/>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c r="AD913" s="122"/>
    </row>
    <row r="914">
      <c r="A914" s="154"/>
      <c r="B914" s="126"/>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c r="AD914" s="122"/>
    </row>
    <row r="915">
      <c r="A915" s="154"/>
      <c r="B915" s="126"/>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c r="AD915" s="122"/>
    </row>
    <row r="916">
      <c r="A916" s="154"/>
      <c r="B916" s="126"/>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c r="AD916" s="122"/>
    </row>
    <row r="917">
      <c r="A917" s="154"/>
      <c r="B917" s="126"/>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c r="AD917" s="122"/>
    </row>
    <row r="918">
      <c r="A918" s="154"/>
      <c r="B918" s="126"/>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c r="AD918" s="122"/>
    </row>
    <row r="919">
      <c r="A919" s="154"/>
      <c r="B919" s="126"/>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c r="AD919" s="122"/>
    </row>
    <row r="920">
      <c r="A920" s="154"/>
      <c r="B920" s="126"/>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c r="AD920" s="122"/>
    </row>
    <row r="921">
      <c r="A921" s="154"/>
      <c r="B921" s="126"/>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c r="AD921" s="122"/>
    </row>
    <row r="922">
      <c r="A922" s="154"/>
      <c r="B922" s="126"/>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c r="AD922" s="122"/>
    </row>
    <row r="923">
      <c r="A923" s="154"/>
      <c r="B923" s="126"/>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c r="AD923" s="122"/>
    </row>
    <row r="924">
      <c r="A924" s="154"/>
      <c r="B924" s="126"/>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c r="AD924" s="122"/>
    </row>
    <row r="925">
      <c r="A925" s="154"/>
      <c r="B925" s="126"/>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c r="AD925" s="122"/>
    </row>
    <row r="926">
      <c r="A926" s="154"/>
      <c r="B926" s="126"/>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c r="AD926" s="122"/>
    </row>
    <row r="927">
      <c r="A927" s="154"/>
      <c r="B927" s="126"/>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c r="AD927" s="122"/>
    </row>
    <row r="928">
      <c r="A928" s="154"/>
      <c r="B928" s="126"/>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c r="AD928" s="122"/>
    </row>
    <row r="929">
      <c r="A929" s="154"/>
      <c r="B929" s="126"/>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c r="AD929" s="122"/>
    </row>
    <row r="930">
      <c r="A930" s="154"/>
      <c r="B930" s="126"/>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c r="AD930" s="122"/>
    </row>
    <row r="931">
      <c r="A931" s="154"/>
      <c r="B931" s="126"/>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c r="AD931" s="122"/>
    </row>
    <row r="932">
      <c r="A932" s="154"/>
      <c r="B932" s="126"/>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c r="AD932" s="122"/>
    </row>
    <row r="933">
      <c r="A933" s="154"/>
      <c r="B933" s="126"/>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c r="AD933" s="122"/>
    </row>
    <row r="934">
      <c r="A934" s="154"/>
      <c r="B934" s="126"/>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c r="AD934" s="122"/>
    </row>
    <row r="935">
      <c r="A935" s="154"/>
      <c r="B935" s="126"/>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c r="AD935" s="122"/>
    </row>
    <row r="936">
      <c r="A936" s="154"/>
      <c r="B936" s="126"/>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c r="AD936" s="122"/>
    </row>
    <row r="937">
      <c r="A937" s="154"/>
      <c r="B937" s="126"/>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c r="AD937" s="122"/>
    </row>
    <row r="938">
      <c r="A938" s="154"/>
      <c r="B938" s="126"/>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c r="AD938" s="122"/>
    </row>
    <row r="939">
      <c r="A939" s="154"/>
      <c r="B939" s="126"/>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c r="AD939" s="122"/>
    </row>
    <row r="940">
      <c r="A940" s="154"/>
      <c r="B940" s="126"/>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c r="AD940" s="122"/>
    </row>
    <row r="941">
      <c r="A941" s="154"/>
      <c r="B941" s="126"/>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c r="AD941" s="122"/>
    </row>
    <row r="942">
      <c r="A942" s="154"/>
      <c r="B942" s="126"/>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c r="AD942" s="122"/>
    </row>
    <row r="943">
      <c r="A943" s="154"/>
      <c r="B943" s="126"/>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c r="AD943" s="122"/>
    </row>
    <row r="944">
      <c r="A944" s="154"/>
      <c r="B944" s="126"/>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c r="AD944" s="122"/>
    </row>
    <row r="945">
      <c r="A945" s="154"/>
      <c r="B945" s="126"/>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c r="AD945" s="122"/>
    </row>
    <row r="946">
      <c r="A946" s="154"/>
      <c r="B946" s="126"/>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c r="AD946" s="122"/>
    </row>
    <row r="947">
      <c r="A947" s="154"/>
      <c r="B947" s="126"/>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c r="AD947" s="122"/>
    </row>
    <row r="948">
      <c r="A948" s="154"/>
      <c r="B948" s="126"/>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c r="AD948" s="122"/>
    </row>
    <row r="949">
      <c r="A949" s="154"/>
      <c r="B949" s="126"/>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c r="AD949" s="122"/>
    </row>
    <row r="950">
      <c r="A950" s="154"/>
      <c r="B950" s="126"/>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c r="AD950" s="122"/>
    </row>
    <row r="951">
      <c r="A951" s="154"/>
      <c r="B951" s="126"/>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c r="AD951" s="122"/>
    </row>
    <row r="952">
      <c r="A952" s="154"/>
      <c r="B952" s="126"/>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c r="AD952" s="122"/>
    </row>
    <row r="953">
      <c r="A953" s="154"/>
      <c r="B953" s="126"/>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c r="AD953" s="122"/>
    </row>
    <row r="954">
      <c r="A954" s="154"/>
      <c r="B954" s="126"/>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c r="AD954" s="122"/>
    </row>
    <row r="955">
      <c r="A955" s="154"/>
      <c r="B955" s="126"/>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c r="AD955" s="122"/>
    </row>
    <row r="956">
      <c r="A956" s="154"/>
      <c r="B956" s="126"/>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c r="AD956" s="122"/>
    </row>
    <row r="957">
      <c r="A957" s="154"/>
      <c r="B957" s="126"/>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c r="AD957" s="122"/>
    </row>
    <row r="958">
      <c r="A958" s="154"/>
      <c r="B958" s="126"/>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c r="AD958" s="122"/>
    </row>
    <row r="959">
      <c r="A959" s="154"/>
      <c r="B959" s="126"/>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c r="AD959" s="122"/>
    </row>
    <row r="960">
      <c r="A960" s="154"/>
      <c r="B960" s="126"/>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c r="AD960" s="122"/>
    </row>
    <row r="961">
      <c r="A961" s="154"/>
      <c r="B961" s="126"/>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c r="AD961" s="122"/>
    </row>
    <row r="962">
      <c r="A962" s="154"/>
      <c r="B962" s="126"/>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2"/>
      <c r="AD962" s="122"/>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0"/>
    <col customWidth="1" min="2" max="2" width="49.38"/>
    <col customWidth="1" min="3" max="21" width="7.63"/>
    <col customWidth="1" min="22" max="22" width="8.88"/>
    <col customWidth="1" min="23" max="27" width="7.63"/>
    <col customWidth="1" min="28" max="28" width="15.88"/>
    <col customWidth="1" min="29" max="29" width="7.63"/>
  </cols>
  <sheetData>
    <row r="1">
      <c r="A1" s="150"/>
      <c r="B1" s="30" t="s">
        <v>58</v>
      </c>
      <c r="C1" s="30" t="s">
        <v>5</v>
      </c>
      <c r="D1" s="31"/>
      <c r="E1" s="31"/>
      <c r="F1" s="30"/>
      <c r="G1" s="30"/>
      <c r="H1" s="30"/>
      <c r="I1" s="30"/>
      <c r="J1" s="31"/>
      <c r="K1" s="31"/>
      <c r="L1" s="31"/>
      <c r="M1" s="30" t="s">
        <v>6</v>
      </c>
      <c r="N1" s="33"/>
      <c r="O1" s="33"/>
      <c r="P1" s="33"/>
      <c r="Q1" s="31"/>
      <c r="R1" s="30" t="s">
        <v>7</v>
      </c>
      <c r="S1" s="110"/>
      <c r="T1" s="31"/>
      <c r="U1" s="30"/>
      <c r="V1" s="31"/>
      <c r="W1" s="30" t="s">
        <v>8</v>
      </c>
      <c r="X1" s="111"/>
      <c r="Y1" s="31"/>
      <c r="Z1" s="31"/>
      <c r="AA1" s="112" t="s">
        <v>59</v>
      </c>
      <c r="AB1" s="113"/>
      <c r="AC1" s="113"/>
      <c r="AD1" s="113"/>
    </row>
    <row r="2">
      <c r="A2" s="150"/>
      <c r="B2" s="114" t="s">
        <v>30</v>
      </c>
      <c r="C2" s="115" t="s">
        <v>11</v>
      </c>
      <c r="D2" s="115" t="s">
        <v>12</v>
      </c>
      <c r="E2" s="114" t="s">
        <v>13</v>
      </c>
      <c r="F2" s="114" t="s">
        <v>14</v>
      </c>
      <c r="G2" s="114" t="s">
        <v>15</v>
      </c>
      <c r="H2" s="114" t="s">
        <v>60</v>
      </c>
      <c r="I2" s="114" t="s">
        <v>17</v>
      </c>
      <c r="J2" s="115" t="s">
        <v>18</v>
      </c>
      <c r="K2" s="114" t="s">
        <v>19</v>
      </c>
      <c r="L2" s="114" t="s">
        <v>61</v>
      </c>
      <c r="M2" s="114" t="s">
        <v>62</v>
      </c>
      <c r="N2" s="114" t="s">
        <v>63</v>
      </c>
      <c r="O2" s="114" t="s">
        <v>64</v>
      </c>
      <c r="P2" s="114" t="s">
        <v>65</v>
      </c>
      <c r="Q2" s="114" t="s">
        <v>66</v>
      </c>
      <c r="R2" s="114" t="s">
        <v>67</v>
      </c>
      <c r="S2" s="114" t="s">
        <v>68</v>
      </c>
      <c r="T2" s="114" t="s">
        <v>27</v>
      </c>
      <c r="U2" s="115" t="s">
        <v>28</v>
      </c>
      <c r="V2" s="114" t="s">
        <v>69</v>
      </c>
      <c r="W2" s="114" t="s">
        <v>67</v>
      </c>
      <c r="X2" s="114" t="s">
        <v>29</v>
      </c>
      <c r="Y2" s="114" t="s">
        <v>19</v>
      </c>
      <c r="Z2" s="114" t="s">
        <v>70</v>
      </c>
      <c r="AA2" s="116" t="s">
        <v>30</v>
      </c>
      <c r="AB2" s="113"/>
      <c r="AC2" s="113"/>
      <c r="AD2" s="113"/>
    </row>
    <row r="3">
      <c r="A3" s="137">
        <v>44200.0</v>
      </c>
      <c r="B3" s="131" t="s">
        <v>74</v>
      </c>
      <c r="C3" s="132"/>
      <c r="D3" s="134"/>
      <c r="E3" s="132"/>
      <c r="F3" s="132"/>
      <c r="G3" s="132"/>
      <c r="H3" s="132"/>
      <c r="I3" s="132"/>
      <c r="J3" s="132"/>
      <c r="K3" s="132"/>
      <c r="L3" s="132"/>
      <c r="M3" s="146" t="s">
        <v>72</v>
      </c>
      <c r="N3" s="130">
        <v>7393.0</v>
      </c>
      <c r="O3" s="132"/>
      <c r="P3" s="132"/>
      <c r="Q3" s="132"/>
      <c r="R3" s="132"/>
      <c r="S3" s="132"/>
      <c r="T3" s="132"/>
      <c r="U3" s="130">
        <v>7393.0</v>
      </c>
      <c r="V3" s="129"/>
      <c r="W3" s="128"/>
      <c r="X3" s="128"/>
      <c r="Y3" s="128"/>
      <c r="Z3" s="129"/>
      <c r="AA3" s="120">
        <f t="shared" ref="AA3:AA22" si="1">sum(C3:L3,N3:Q3)-sum(S3:Z3)</f>
        <v>0</v>
      </c>
      <c r="AB3" s="121"/>
      <c r="AC3" s="111"/>
      <c r="AD3" s="111"/>
    </row>
    <row r="4">
      <c r="A4" s="137">
        <v>44320.0</v>
      </c>
      <c r="B4" s="131" t="s">
        <v>75</v>
      </c>
      <c r="C4" s="132"/>
      <c r="D4" s="132"/>
      <c r="E4" s="132"/>
      <c r="F4" s="132"/>
      <c r="G4" s="132"/>
      <c r="H4" s="132"/>
      <c r="I4" s="132"/>
      <c r="J4" s="132"/>
      <c r="K4" s="132"/>
      <c r="L4" s="132"/>
      <c r="M4" s="146" t="s">
        <v>72</v>
      </c>
      <c r="N4" s="130">
        <v>914.0</v>
      </c>
      <c r="O4" s="132"/>
      <c r="P4" s="132"/>
      <c r="Q4" s="132"/>
      <c r="R4" s="132"/>
      <c r="S4" s="132"/>
      <c r="T4" s="132"/>
      <c r="U4" s="130">
        <v>914.0</v>
      </c>
      <c r="V4" s="129"/>
      <c r="W4" s="128"/>
      <c r="X4" s="128"/>
      <c r="Y4" s="128"/>
      <c r="Z4" s="129"/>
      <c r="AA4" s="120">
        <f t="shared" si="1"/>
        <v>0</v>
      </c>
      <c r="AB4" s="122"/>
      <c r="AC4" s="122"/>
      <c r="AD4" s="122"/>
    </row>
    <row r="5">
      <c r="A5" s="160" t="s">
        <v>260</v>
      </c>
      <c r="B5" s="131" t="s">
        <v>73</v>
      </c>
      <c r="C5" s="132"/>
      <c r="D5" s="132"/>
      <c r="E5" s="132"/>
      <c r="F5" s="132"/>
      <c r="G5" s="132"/>
      <c r="H5" s="132"/>
      <c r="I5" s="132"/>
      <c r="J5" s="132"/>
      <c r="K5" s="132"/>
      <c r="L5" s="132"/>
      <c r="M5" s="146" t="s">
        <v>72</v>
      </c>
      <c r="N5" s="130">
        <v>412.0</v>
      </c>
      <c r="O5" s="132"/>
      <c r="P5" s="132"/>
      <c r="Q5" s="132"/>
      <c r="R5" s="132"/>
      <c r="S5" s="132"/>
      <c r="T5" s="132"/>
      <c r="U5" s="130">
        <v>412.0</v>
      </c>
      <c r="V5" s="129"/>
      <c r="W5" s="128"/>
      <c r="X5" s="128"/>
      <c r="Y5" s="128"/>
      <c r="Z5" s="129"/>
      <c r="AA5" s="120">
        <f t="shared" si="1"/>
        <v>0</v>
      </c>
      <c r="AB5" s="111"/>
      <c r="AC5" s="111"/>
      <c r="AD5" s="111"/>
    </row>
    <row r="6">
      <c r="A6" s="160" t="s">
        <v>260</v>
      </c>
      <c r="B6" s="131" t="s">
        <v>74</v>
      </c>
      <c r="C6" s="132"/>
      <c r="D6" s="132"/>
      <c r="E6" s="132"/>
      <c r="F6" s="132"/>
      <c r="G6" s="132"/>
      <c r="H6" s="132"/>
      <c r="I6" s="132"/>
      <c r="J6" s="132"/>
      <c r="K6" s="132"/>
      <c r="L6" s="132"/>
      <c r="M6" s="146" t="s">
        <v>72</v>
      </c>
      <c r="N6" s="130">
        <v>7332.0</v>
      </c>
      <c r="O6" s="132"/>
      <c r="P6" s="132"/>
      <c r="Q6" s="132"/>
      <c r="R6" s="132"/>
      <c r="S6" s="132"/>
      <c r="T6" s="132"/>
      <c r="U6" s="130">
        <v>7332.0</v>
      </c>
      <c r="V6" s="129"/>
      <c r="W6" s="128"/>
      <c r="X6" s="128"/>
      <c r="Y6" s="128"/>
      <c r="Z6" s="129"/>
      <c r="AA6" s="120">
        <f t="shared" si="1"/>
        <v>0</v>
      </c>
      <c r="AB6" s="111"/>
      <c r="AC6" s="111"/>
      <c r="AD6" s="111"/>
    </row>
    <row r="7">
      <c r="A7" s="160" t="s">
        <v>260</v>
      </c>
      <c r="B7" s="131" t="s">
        <v>73</v>
      </c>
      <c r="C7" s="132"/>
      <c r="D7" s="132"/>
      <c r="E7" s="132"/>
      <c r="F7" s="132"/>
      <c r="G7" s="132"/>
      <c r="H7" s="132"/>
      <c r="I7" s="132"/>
      <c r="J7" s="132"/>
      <c r="K7" s="132"/>
      <c r="L7" s="132"/>
      <c r="M7" s="146" t="s">
        <v>72</v>
      </c>
      <c r="N7" s="130">
        <v>198.0</v>
      </c>
      <c r="O7" s="132"/>
      <c r="P7" s="132"/>
      <c r="Q7" s="132"/>
      <c r="R7" s="132"/>
      <c r="S7" s="132"/>
      <c r="T7" s="132"/>
      <c r="U7" s="130">
        <v>198.0</v>
      </c>
      <c r="V7" s="129"/>
      <c r="W7" s="128"/>
      <c r="X7" s="128"/>
      <c r="Y7" s="128"/>
      <c r="Z7" s="129"/>
      <c r="AA7" s="120">
        <f t="shared" si="1"/>
        <v>0</v>
      </c>
      <c r="AB7" s="122"/>
      <c r="AC7" s="122"/>
      <c r="AD7" s="122"/>
    </row>
    <row r="8">
      <c r="A8" s="160" t="s">
        <v>260</v>
      </c>
      <c r="B8" s="131" t="s">
        <v>205</v>
      </c>
      <c r="C8" s="132"/>
      <c r="D8" s="132"/>
      <c r="E8" s="132"/>
      <c r="F8" s="132"/>
      <c r="G8" s="132"/>
      <c r="H8" s="132"/>
      <c r="I8" s="132"/>
      <c r="J8" s="132"/>
      <c r="K8" s="132"/>
      <c r="L8" s="132"/>
      <c r="M8" s="146" t="s">
        <v>72</v>
      </c>
      <c r="N8" s="130">
        <v>108.0</v>
      </c>
      <c r="O8" s="132"/>
      <c r="P8" s="132"/>
      <c r="Q8" s="132"/>
      <c r="R8" s="132"/>
      <c r="S8" s="132"/>
      <c r="T8" s="132"/>
      <c r="U8" s="130">
        <v>108.0</v>
      </c>
      <c r="V8" s="129"/>
      <c r="W8" s="128"/>
      <c r="X8" s="128"/>
      <c r="Y8" s="128"/>
      <c r="Z8" s="129"/>
      <c r="AA8" s="120">
        <f t="shared" si="1"/>
        <v>0</v>
      </c>
      <c r="AB8" s="121"/>
      <c r="AC8" s="122"/>
      <c r="AD8" s="122"/>
    </row>
    <row r="9">
      <c r="A9" s="160" t="s">
        <v>260</v>
      </c>
      <c r="B9" s="131" t="s">
        <v>75</v>
      </c>
      <c r="C9" s="132"/>
      <c r="D9" s="132"/>
      <c r="E9" s="132"/>
      <c r="F9" s="132"/>
      <c r="G9" s="132"/>
      <c r="H9" s="132"/>
      <c r="I9" s="132"/>
      <c r="J9" s="132"/>
      <c r="K9" s="132"/>
      <c r="L9" s="132"/>
      <c r="M9" s="146" t="s">
        <v>72</v>
      </c>
      <c r="N9" s="130">
        <v>216.0</v>
      </c>
      <c r="O9" s="132"/>
      <c r="P9" s="132"/>
      <c r="Q9" s="132"/>
      <c r="R9" s="132"/>
      <c r="S9" s="132"/>
      <c r="T9" s="132"/>
      <c r="U9" s="130">
        <v>216.0</v>
      </c>
      <c r="V9" s="129"/>
      <c r="W9" s="128"/>
      <c r="X9" s="128"/>
      <c r="Y9" s="128"/>
      <c r="Z9" s="129"/>
      <c r="AA9" s="120">
        <f t="shared" si="1"/>
        <v>0</v>
      </c>
      <c r="AB9" s="121"/>
      <c r="AC9" s="122"/>
      <c r="AD9" s="122"/>
    </row>
    <row r="10">
      <c r="A10" s="160" t="s">
        <v>260</v>
      </c>
      <c r="B10" s="131" t="s">
        <v>261</v>
      </c>
      <c r="C10" s="132"/>
      <c r="D10" s="132"/>
      <c r="E10" s="132"/>
      <c r="F10" s="132"/>
      <c r="G10" s="132"/>
      <c r="H10" s="132"/>
      <c r="I10" s="132"/>
      <c r="J10" s="132"/>
      <c r="K10" s="132"/>
      <c r="L10" s="132"/>
      <c r="M10" s="146" t="s">
        <v>72</v>
      </c>
      <c r="N10" s="130">
        <v>470.0</v>
      </c>
      <c r="O10" s="132"/>
      <c r="P10" s="132"/>
      <c r="Q10" s="132"/>
      <c r="R10" s="132"/>
      <c r="S10" s="132"/>
      <c r="T10" s="132"/>
      <c r="U10" s="130">
        <v>470.0</v>
      </c>
      <c r="V10" s="129"/>
      <c r="W10" s="128"/>
      <c r="X10" s="128"/>
      <c r="Y10" s="128"/>
      <c r="Z10" s="129"/>
      <c r="AA10" s="120">
        <f t="shared" si="1"/>
        <v>0</v>
      </c>
      <c r="AB10" s="122"/>
      <c r="AC10" s="122"/>
      <c r="AD10" s="122"/>
    </row>
    <row r="11">
      <c r="A11" s="160" t="s">
        <v>260</v>
      </c>
      <c r="B11" s="131" t="s">
        <v>262</v>
      </c>
      <c r="C11" s="132"/>
      <c r="D11" s="132"/>
      <c r="E11" s="132"/>
      <c r="F11" s="132"/>
      <c r="G11" s="132"/>
      <c r="H11" s="132"/>
      <c r="I11" s="132"/>
      <c r="J11" s="132"/>
      <c r="K11" s="132"/>
      <c r="L11" s="132"/>
      <c r="M11" s="146" t="s">
        <v>72</v>
      </c>
      <c r="N11" s="130">
        <v>197.0</v>
      </c>
      <c r="O11" s="132"/>
      <c r="P11" s="132"/>
      <c r="Q11" s="132"/>
      <c r="R11" s="132"/>
      <c r="S11" s="132"/>
      <c r="T11" s="132"/>
      <c r="U11" s="130">
        <v>197.0</v>
      </c>
      <c r="V11" s="129"/>
      <c r="W11" s="128"/>
      <c r="X11" s="128"/>
      <c r="Y11" s="128"/>
      <c r="Z11" s="129"/>
      <c r="AA11" s="120">
        <f t="shared" si="1"/>
        <v>0</v>
      </c>
      <c r="AB11" s="122"/>
      <c r="AC11" s="122"/>
      <c r="AD11" s="122"/>
    </row>
    <row r="12">
      <c r="A12" s="160" t="s">
        <v>260</v>
      </c>
      <c r="B12" s="131" t="s">
        <v>75</v>
      </c>
      <c r="C12" s="132"/>
      <c r="D12" s="132"/>
      <c r="E12" s="132"/>
      <c r="F12" s="132"/>
      <c r="G12" s="132"/>
      <c r="H12" s="132"/>
      <c r="I12" s="132"/>
      <c r="J12" s="132"/>
      <c r="K12" s="132"/>
      <c r="L12" s="132"/>
      <c r="M12" s="146" t="s">
        <v>72</v>
      </c>
      <c r="N12" s="130">
        <v>333.0</v>
      </c>
      <c r="O12" s="132"/>
      <c r="P12" s="132"/>
      <c r="Q12" s="132"/>
      <c r="R12" s="132"/>
      <c r="S12" s="132"/>
      <c r="T12" s="132"/>
      <c r="U12" s="130">
        <v>333.0</v>
      </c>
      <c r="V12" s="129"/>
      <c r="W12" s="128"/>
      <c r="X12" s="128"/>
      <c r="Y12" s="128"/>
      <c r="Z12" s="129"/>
      <c r="AA12" s="120">
        <f t="shared" si="1"/>
        <v>0</v>
      </c>
      <c r="AB12" s="122"/>
      <c r="AC12" s="122"/>
      <c r="AD12" s="122"/>
    </row>
    <row r="13">
      <c r="A13" s="137">
        <v>44231.0</v>
      </c>
      <c r="B13" s="131" t="s">
        <v>263</v>
      </c>
      <c r="C13" s="132"/>
      <c r="D13" s="132"/>
      <c r="E13" s="132"/>
      <c r="F13" s="132"/>
      <c r="G13" s="132"/>
      <c r="H13" s="132"/>
      <c r="I13" s="132"/>
      <c r="J13" s="132"/>
      <c r="K13" s="132"/>
      <c r="L13" s="132"/>
      <c r="M13" s="146" t="s">
        <v>72</v>
      </c>
      <c r="N13" s="130">
        <v>1265.0</v>
      </c>
      <c r="O13" s="132"/>
      <c r="P13" s="132"/>
      <c r="Q13" s="132"/>
      <c r="R13" s="132"/>
      <c r="S13" s="132"/>
      <c r="T13" s="132"/>
      <c r="U13" s="130">
        <v>1265.0</v>
      </c>
      <c r="V13" s="129"/>
      <c r="W13" s="128"/>
      <c r="X13" s="128"/>
      <c r="Y13" s="128"/>
      <c r="Z13" s="129"/>
      <c r="AA13" s="120">
        <f t="shared" si="1"/>
        <v>0</v>
      </c>
      <c r="AB13" s="122"/>
      <c r="AC13" s="122"/>
      <c r="AD13" s="122"/>
    </row>
    <row r="14">
      <c r="A14" s="137">
        <v>44351.0</v>
      </c>
      <c r="B14" s="131" t="s">
        <v>263</v>
      </c>
      <c r="C14" s="132"/>
      <c r="D14" s="132"/>
      <c r="E14" s="132"/>
      <c r="F14" s="132"/>
      <c r="G14" s="132"/>
      <c r="H14" s="132"/>
      <c r="I14" s="132"/>
      <c r="J14" s="132"/>
      <c r="K14" s="132"/>
      <c r="L14" s="132"/>
      <c r="M14" s="146" t="s">
        <v>72</v>
      </c>
      <c r="N14" s="130">
        <v>819.0</v>
      </c>
      <c r="O14" s="132"/>
      <c r="P14" s="132"/>
      <c r="Q14" s="132"/>
      <c r="R14" s="132"/>
      <c r="S14" s="132"/>
      <c r="T14" s="132"/>
      <c r="U14" s="130">
        <v>819.0</v>
      </c>
      <c r="V14" s="129"/>
      <c r="W14" s="128"/>
      <c r="X14" s="128"/>
      <c r="Y14" s="128"/>
      <c r="Z14" s="129"/>
      <c r="AA14" s="120">
        <f t="shared" si="1"/>
        <v>0</v>
      </c>
      <c r="AB14" s="122"/>
      <c r="AC14" s="122"/>
      <c r="AD14" s="122"/>
    </row>
    <row r="15">
      <c r="A15" s="160" t="s">
        <v>260</v>
      </c>
      <c r="B15" s="131" t="s">
        <v>263</v>
      </c>
      <c r="C15" s="132"/>
      <c r="D15" s="132"/>
      <c r="E15" s="132"/>
      <c r="F15" s="132"/>
      <c r="G15" s="132"/>
      <c r="H15" s="132"/>
      <c r="I15" s="132"/>
      <c r="J15" s="132"/>
      <c r="K15" s="132"/>
      <c r="L15" s="132"/>
      <c r="M15" s="146" t="s">
        <v>72</v>
      </c>
      <c r="N15" s="130">
        <v>1490.0</v>
      </c>
      <c r="O15" s="132"/>
      <c r="P15" s="132"/>
      <c r="Q15" s="132"/>
      <c r="R15" s="132"/>
      <c r="S15" s="132"/>
      <c r="T15" s="132"/>
      <c r="U15" s="130">
        <v>1490.0</v>
      </c>
      <c r="V15" s="129"/>
      <c r="W15" s="128"/>
      <c r="X15" s="128"/>
      <c r="Y15" s="128"/>
      <c r="Z15" s="129"/>
      <c r="AA15" s="120">
        <f t="shared" si="1"/>
        <v>0</v>
      </c>
      <c r="AB15" s="122"/>
      <c r="AC15" s="122"/>
      <c r="AD15" s="122"/>
    </row>
    <row r="16">
      <c r="A16" s="160" t="s">
        <v>260</v>
      </c>
      <c r="B16" s="131" t="s">
        <v>263</v>
      </c>
      <c r="C16" s="132"/>
      <c r="D16" s="132"/>
      <c r="E16" s="132"/>
      <c r="F16" s="132"/>
      <c r="G16" s="132"/>
      <c r="H16" s="132"/>
      <c r="I16" s="132"/>
      <c r="J16" s="132"/>
      <c r="K16" s="132"/>
      <c r="L16" s="132"/>
      <c r="M16" s="146" t="s">
        <v>72</v>
      </c>
      <c r="N16" s="130">
        <v>990.0</v>
      </c>
      <c r="O16" s="132"/>
      <c r="P16" s="132"/>
      <c r="Q16" s="132"/>
      <c r="R16" s="132"/>
      <c r="S16" s="132"/>
      <c r="T16" s="132"/>
      <c r="U16" s="130">
        <v>990.0</v>
      </c>
      <c r="V16" s="129"/>
      <c r="W16" s="128"/>
      <c r="X16" s="128"/>
      <c r="Y16" s="128"/>
      <c r="Z16" s="129"/>
      <c r="AA16" s="120">
        <f t="shared" si="1"/>
        <v>0</v>
      </c>
      <c r="AB16" s="121"/>
      <c r="AC16" s="122"/>
      <c r="AD16" s="122"/>
    </row>
    <row r="17">
      <c r="A17" s="160" t="s">
        <v>260</v>
      </c>
      <c r="B17" s="131" t="s">
        <v>263</v>
      </c>
      <c r="C17" s="132"/>
      <c r="D17" s="132"/>
      <c r="E17" s="132"/>
      <c r="F17" s="132"/>
      <c r="G17" s="132"/>
      <c r="H17" s="132"/>
      <c r="I17" s="132"/>
      <c r="J17" s="132"/>
      <c r="K17" s="132"/>
      <c r="L17" s="132"/>
      <c r="M17" s="146" t="s">
        <v>72</v>
      </c>
      <c r="N17" s="130">
        <v>1111.0</v>
      </c>
      <c r="O17" s="132"/>
      <c r="P17" s="132"/>
      <c r="Q17" s="132"/>
      <c r="R17" s="132"/>
      <c r="S17" s="132"/>
      <c r="T17" s="132"/>
      <c r="U17" s="130">
        <v>1111.0</v>
      </c>
      <c r="V17" s="129"/>
      <c r="W17" s="128"/>
      <c r="X17" s="128"/>
      <c r="Y17" s="128"/>
      <c r="Z17" s="129"/>
      <c r="AA17" s="120">
        <f t="shared" si="1"/>
        <v>0</v>
      </c>
      <c r="AB17" s="122"/>
      <c r="AC17" s="122"/>
      <c r="AD17" s="122"/>
    </row>
    <row r="18">
      <c r="A18" s="137">
        <v>44320.0</v>
      </c>
      <c r="B18" s="131" t="s">
        <v>189</v>
      </c>
      <c r="C18" s="132"/>
      <c r="D18" s="132"/>
      <c r="E18" s="132"/>
      <c r="F18" s="132"/>
      <c r="G18" s="132"/>
      <c r="H18" s="132"/>
      <c r="I18" s="132"/>
      <c r="J18" s="132"/>
      <c r="K18" s="132"/>
      <c r="L18" s="132"/>
      <c r="M18" s="146" t="s">
        <v>72</v>
      </c>
      <c r="N18" s="132"/>
      <c r="O18" s="132"/>
      <c r="P18" s="132"/>
      <c r="Q18" s="130">
        <v>140.0</v>
      </c>
      <c r="R18" s="132"/>
      <c r="S18" s="132"/>
      <c r="T18" s="132"/>
      <c r="U18" s="130">
        <v>140.0</v>
      </c>
      <c r="V18" s="129"/>
      <c r="W18" s="128"/>
      <c r="X18" s="128"/>
      <c r="Y18" s="128"/>
      <c r="Z18" s="129"/>
      <c r="AA18" s="120">
        <f t="shared" si="1"/>
        <v>0</v>
      </c>
      <c r="AB18" s="111"/>
      <c r="AC18" s="111"/>
      <c r="AD18" s="111"/>
    </row>
    <row r="19">
      <c r="A19" s="160" t="s">
        <v>260</v>
      </c>
      <c r="B19" s="131" t="s">
        <v>77</v>
      </c>
      <c r="C19" s="132"/>
      <c r="D19" s="132"/>
      <c r="E19" s="132"/>
      <c r="F19" s="132"/>
      <c r="G19" s="132"/>
      <c r="H19" s="132"/>
      <c r="I19" s="132"/>
      <c r="J19" s="132"/>
      <c r="K19" s="132"/>
      <c r="L19" s="132"/>
      <c r="M19" s="146" t="s">
        <v>72</v>
      </c>
      <c r="N19" s="132"/>
      <c r="O19" s="132"/>
      <c r="P19" s="132"/>
      <c r="Q19" s="130">
        <v>250.0</v>
      </c>
      <c r="R19" s="132"/>
      <c r="S19" s="132"/>
      <c r="T19" s="132"/>
      <c r="U19" s="130">
        <v>250.0</v>
      </c>
      <c r="V19" s="129"/>
      <c r="W19" s="128"/>
      <c r="X19" s="128"/>
      <c r="Y19" s="128"/>
      <c r="Z19" s="129"/>
      <c r="AA19" s="120">
        <f t="shared" si="1"/>
        <v>0</v>
      </c>
      <c r="AB19" s="111"/>
      <c r="AC19" s="111"/>
      <c r="AD19" s="111"/>
    </row>
    <row r="20">
      <c r="A20" s="160" t="s">
        <v>260</v>
      </c>
      <c r="B20" s="131" t="s">
        <v>189</v>
      </c>
      <c r="C20" s="132"/>
      <c r="D20" s="132"/>
      <c r="E20" s="132"/>
      <c r="F20" s="132"/>
      <c r="G20" s="132"/>
      <c r="H20" s="132"/>
      <c r="I20" s="132"/>
      <c r="J20" s="132"/>
      <c r="K20" s="132"/>
      <c r="L20" s="132"/>
      <c r="M20" s="146" t="s">
        <v>72</v>
      </c>
      <c r="N20" s="132"/>
      <c r="O20" s="132"/>
      <c r="P20" s="132"/>
      <c r="Q20" s="130">
        <v>110.0</v>
      </c>
      <c r="R20" s="132"/>
      <c r="S20" s="132"/>
      <c r="T20" s="132"/>
      <c r="U20" s="130">
        <v>110.0</v>
      </c>
      <c r="V20" s="129"/>
      <c r="W20" s="128"/>
      <c r="X20" s="128"/>
      <c r="Y20" s="128"/>
      <c r="Z20" s="129"/>
      <c r="AA20" s="120">
        <f t="shared" si="1"/>
        <v>0</v>
      </c>
      <c r="AB20" s="111"/>
      <c r="AC20" s="111"/>
      <c r="AD20" s="111"/>
    </row>
    <row r="21">
      <c r="A21" s="160" t="s">
        <v>260</v>
      </c>
      <c r="B21" s="131" t="s">
        <v>216</v>
      </c>
      <c r="C21" s="132"/>
      <c r="D21" s="132"/>
      <c r="E21" s="132"/>
      <c r="F21" s="132"/>
      <c r="G21" s="132"/>
      <c r="H21" s="132"/>
      <c r="I21" s="132"/>
      <c r="J21" s="132"/>
      <c r="K21" s="132"/>
      <c r="L21" s="132"/>
      <c r="M21" s="146" t="s">
        <v>72</v>
      </c>
      <c r="N21" s="132"/>
      <c r="O21" s="132"/>
      <c r="P21" s="132"/>
      <c r="Q21" s="130">
        <v>980.0</v>
      </c>
      <c r="R21" s="132"/>
      <c r="S21" s="132"/>
      <c r="T21" s="132"/>
      <c r="U21" s="130">
        <v>980.0</v>
      </c>
      <c r="V21" s="129"/>
      <c r="W21" s="128"/>
      <c r="X21" s="128"/>
      <c r="Y21" s="128"/>
      <c r="Z21" s="129"/>
      <c r="AA21" s="120">
        <f t="shared" si="1"/>
        <v>0</v>
      </c>
      <c r="AB21" s="111"/>
      <c r="AC21" s="111"/>
      <c r="AD21" s="111"/>
    </row>
    <row r="22">
      <c r="A22" s="160" t="s">
        <v>260</v>
      </c>
      <c r="B22" s="133" t="s">
        <v>264</v>
      </c>
      <c r="C22" s="132"/>
      <c r="D22" s="132"/>
      <c r="E22" s="132"/>
      <c r="F22" s="132"/>
      <c r="G22" s="132"/>
      <c r="H22" s="132"/>
      <c r="I22" s="132"/>
      <c r="J22" s="132"/>
      <c r="K22" s="132"/>
      <c r="L22" s="132"/>
      <c r="M22" s="146" t="s">
        <v>72</v>
      </c>
      <c r="N22" s="132"/>
      <c r="O22" s="132"/>
      <c r="P22" s="130">
        <v>2999.0</v>
      </c>
      <c r="Q22" s="134"/>
      <c r="R22" s="132"/>
      <c r="S22" s="132"/>
      <c r="T22" s="132"/>
      <c r="U22" s="130">
        <v>2999.0</v>
      </c>
      <c r="V22" s="129"/>
      <c r="W22" s="128"/>
      <c r="X22" s="128"/>
      <c r="Y22" s="128"/>
      <c r="Z22" s="129"/>
      <c r="AA22" s="120">
        <f t="shared" si="1"/>
        <v>0</v>
      </c>
      <c r="AB22" s="122"/>
      <c r="AC22" s="122"/>
      <c r="AD22" s="122"/>
    </row>
    <row r="23">
      <c r="A23" s="160" t="s">
        <v>260</v>
      </c>
      <c r="B23" s="131" t="s">
        <v>265</v>
      </c>
      <c r="C23" s="132"/>
      <c r="D23" s="132"/>
      <c r="E23" s="132"/>
      <c r="F23" s="132"/>
      <c r="G23" s="132"/>
      <c r="H23" s="132"/>
      <c r="I23" s="132"/>
      <c r="J23" s="132"/>
      <c r="K23" s="132"/>
      <c r="L23" s="132"/>
      <c r="M23" s="146" t="s">
        <v>72</v>
      </c>
      <c r="N23" s="132"/>
      <c r="O23" s="132"/>
      <c r="P23" s="130">
        <v>151.0</v>
      </c>
      <c r="Q23" s="132"/>
      <c r="R23" s="132"/>
      <c r="S23" s="132"/>
      <c r="T23" s="132"/>
      <c r="U23" s="130">
        <v>151.0</v>
      </c>
      <c r="V23" s="129"/>
      <c r="W23" s="128"/>
      <c r="X23" s="128"/>
      <c r="Y23" s="128"/>
      <c r="Z23" s="129"/>
      <c r="AA23" s="120">
        <f t="shared" ref="AA23:AA26" si="2">sum(C23:L23,O23:Q23)-sum(S23:Z23)</f>
        <v>0</v>
      </c>
      <c r="AB23" s="122"/>
      <c r="AC23" s="122"/>
      <c r="AD23" s="122"/>
    </row>
    <row r="24">
      <c r="A24" s="160" t="s">
        <v>260</v>
      </c>
      <c r="B24" s="131" t="s">
        <v>266</v>
      </c>
      <c r="C24" s="132"/>
      <c r="D24" s="132"/>
      <c r="E24" s="132"/>
      <c r="F24" s="132"/>
      <c r="G24" s="132"/>
      <c r="H24" s="132"/>
      <c r="I24" s="132"/>
      <c r="J24" s="132"/>
      <c r="K24" s="132"/>
      <c r="L24" s="132"/>
      <c r="M24" s="146" t="s">
        <v>72</v>
      </c>
      <c r="N24" s="132"/>
      <c r="O24" s="132"/>
      <c r="P24" s="130">
        <v>258.0</v>
      </c>
      <c r="Q24" s="134"/>
      <c r="R24" s="132"/>
      <c r="S24" s="132"/>
      <c r="T24" s="132"/>
      <c r="U24" s="130">
        <v>258.0</v>
      </c>
      <c r="V24" s="129"/>
      <c r="W24" s="128"/>
      <c r="X24" s="128"/>
      <c r="Y24" s="128"/>
      <c r="Z24" s="129"/>
      <c r="AA24" s="120">
        <f t="shared" si="2"/>
        <v>0</v>
      </c>
      <c r="AB24" s="122"/>
      <c r="AC24" s="122"/>
      <c r="AD24" s="122"/>
    </row>
    <row r="25">
      <c r="A25" s="160" t="s">
        <v>260</v>
      </c>
      <c r="B25" s="131" t="s">
        <v>267</v>
      </c>
      <c r="C25" s="132"/>
      <c r="D25" s="132"/>
      <c r="E25" s="132"/>
      <c r="F25" s="132"/>
      <c r="G25" s="132"/>
      <c r="H25" s="132"/>
      <c r="I25" s="132"/>
      <c r="J25" s="132"/>
      <c r="K25" s="132"/>
      <c r="L25" s="132"/>
      <c r="M25" s="146" t="s">
        <v>72</v>
      </c>
      <c r="N25" s="132"/>
      <c r="O25" s="132"/>
      <c r="P25" s="132"/>
      <c r="Q25" s="130">
        <v>3152.0</v>
      </c>
      <c r="R25" s="132"/>
      <c r="S25" s="132"/>
      <c r="T25" s="132"/>
      <c r="U25" s="130">
        <v>3152.0</v>
      </c>
      <c r="V25" s="129"/>
      <c r="W25" s="128"/>
      <c r="X25" s="128"/>
      <c r="Y25" s="128"/>
      <c r="Z25" s="129"/>
      <c r="AA25" s="120">
        <f t="shared" si="2"/>
        <v>0</v>
      </c>
      <c r="AB25" s="122"/>
      <c r="AC25" s="122"/>
      <c r="AD25" s="122"/>
    </row>
    <row r="26">
      <c r="A26" s="160" t="s">
        <v>260</v>
      </c>
      <c r="B26" s="131" t="s">
        <v>268</v>
      </c>
      <c r="C26" s="132"/>
      <c r="D26" s="132"/>
      <c r="E26" s="132"/>
      <c r="F26" s="132"/>
      <c r="G26" s="132"/>
      <c r="H26" s="132"/>
      <c r="I26" s="132"/>
      <c r="J26" s="132"/>
      <c r="K26" s="132"/>
      <c r="L26" s="132"/>
      <c r="M26" s="146" t="s">
        <v>72</v>
      </c>
      <c r="N26" s="132"/>
      <c r="O26" s="132"/>
      <c r="P26" s="130">
        <v>342.0</v>
      </c>
      <c r="Q26" s="134"/>
      <c r="R26" s="132"/>
      <c r="S26" s="132"/>
      <c r="T26" s="132"/>
      <c r="U26" s="130">
        <v>342.0</v>
      </c>
      <c r="V26" s="129"/>
      <c r="W26" s="128"/>
      <c r="X26" s="128"/>
      <c r="Y26" s="128"/>
      <c r="Z26" s="129"/>
      <c r="AA26" s="120">
        <f t="shared" si="2"/>
        <v>0</v>
      </c>
      <c r="AB26" s="122"/>
      <c r="AC26" s="122"/>
      <c r="AD26" s="122"/>
    </row>
    <row r="27">
      <c r="A27" s="137">
        <v>44231.0</v>
      </c>
      <c r="B27" s="133" t="s">
        <v>269</v>
      </c>
      <c r="C27" s="132"/>
      <c r="D27" s="132"/>
      <c r="E27" s="132"/>
      <c r="F27" s="132"/>
      <c r="G27" s="132"/>
      <c r="H27" s="132"/>
      <c r="I27" s="132"/>
      <c r="J27" s="132"/>
      <c r="K27" s="132"/>
      <c r="L27" s="132"/>
      <c r="M27" s="146" t="s">
        <v>72</v>
      </c>
      <c r="N27" s="130">
        <v>4395.0</v>
      </c>
      <c r="O27" s="132"/>
      <c r="P27" s="132"/>
      <c r="Q27" s="132"/>
      <c r="R27" s="132"/>
      <c r="S27" s="132"/>
      <c r="T27" s="132"/>
      <c r="U27" s="130">
        <v>4395.0</v>
      </c>
      <c r="V27" s="129"/>
      <c r="W27" s="128"/>
      <c r="X27" s="128"/>
      <c r="Y27" s="128"/>
      <c r="Z27" s="129"/>
      <c r="AA27" s="120">
        <f t="shared" ref="AA27:AA76" si="3">sum(C27:L27,N27:Q27)-sum(S27:Z27)</f>
        <v>0</v>
      </c>
      <c r="AB27" s="121"/>
      <c r="AC27" s="122"/>
      <c r="AD27" s="122"/>
    </row>
    <row r="28">
      <c r="A28" s="160" t="s">
        <v>260</v>
      </c>
      <c r="B28" s="131" t="s">
        <v>270</v>
      </c>
      <c r="C28" s="132"/>
      <c r="D28" s="132"/>
      <c r="E28" s="132"/>
      <c r="F28" s="132"/>
      <c r="G28" s="132"/>
      <c r="H28" s="132"/>
      <c r="I28" s="132"/>
      <c r="J28" s="132"/>
      <c r="K28" s="132"/>
      <c r="L28" s="132"/>
      <c r="M28" s="146" t="s">
        <v>72</v>
      </c>
      <c r="N28" s="130">
        <v>458.0</v>
      </c>
      <c r="O28" s="132"/>
      <c r="P28" s="132"/>
      <c r="Q28" s="132"/>
      <c r="R28" s="132"/>
      <c r="S28" s="132"/>
      <c r="T28" s="132"/>
      <c r="U28" s="130">
        <v>458.0</v>
      </c>
      <c r="V28" s="129"/>
      <c r="W28" s="128"/>
      <c r="X28" s="128"/>
      <c r="Y28" s="128"/>
      <c r="Z28" s="129"/>
      <c r="AA28" s="120">
        <f t="shared" si="3"/>
        <v>0</v>
      </c>
      <c r="AB28" s="121"/>
      <c r="AC28" s="111"/>
      <c r="AD28" s="111"/>
    </row>
    <row r="29">
      <c r="A29" s="160" t="s">
        <v>260</v>
      </c>
      <c r="B29" s="133" t="s">
        <v>271</v>
      </c>
      <c r="C29" s="132"/>
      <c r="D29" s="132"/>
      <c r="E29" s="132"/>
      <c r="F29" s="132"/>
      <c r="G29" s="132"/>
      <c r="H29" s="132"/>
      <c r="I29" s="132"/>
      <c r="J29" s="132"/>
      <c r="K29" s="132"/>
      <c r="L29" s="132"/>
      <c r="M29" s="146" t="s">
        <v>72</v>
      </c>
      <c r="N29" s="130">
        <v>7288.0</v>
      </c>
      <c r="O29" s="132"/>
      <c r="P29" s="132"/>
      <c r="Q29" s="132"/>
      <c r="R29" s="132"/>
      <c r="S29" s="132"/>
      <c r="T29" s="132"/>
      <c r="U29" s="130">
        <v>7288.0</v>
      </c>
      <c r="V29" s="129"/>
      <c r="W29" s="128"/>
      <c r="X29" s="128"/>
      <c r="Y29" s="128"/>
      <c r="Z29" s="129"/>
      <c r="AA29" s="120">
        <f t="shared" si="3"/>
        <v>0</v>
      </c>
      <c r="AB29" s="122"/>
      <c r="AC29" s="122"/>
      <c r="AD29" s="122"/>
    </row>
    <row r="30">
      <c r="A30" s="160" t="s">
        <v>260</v>
      </c>
      <c r="B30" s="131" t="s">
        <v>272</v>
      </c>
      <c r="C30" s="132"/>
      <c r="D30" s="132"/>
      <c r="E30" s="132"/>
      <c r="F30" s="132"/>
      <c r="G30" s="132"/>
      <c r="H30" s="132"/>
      <c r="I30" s="132"/>
      <c r="J30" s="132"/>
      <c r="K30" s="132"/>
      <c r="L30" s="132"/>
      <c r="M30" s="146" t="s">
        <v>72</v>
      </c>
      <c r="N30" s="134"/>
      <c r="O30" s="132"/>
      <c r="P30" s="130">
        <v>81.0</v>
      </c>
      <c r="Q30" s="132"/>
      <c r="R30" s="132"/>
      <c r="S30" s="132"/>
      <c r="T30" s="132"/>
      <c r="U30" s="130">
        <v>81.0</v>
      </c>
      <c r="V30" s="129"/>
      <c r="W30" s="128"/>
      <c r="X30" s="128"/>
      <c r="Y30" s="128"/>
      <c r="Z30" s="129"/>
      <c r="AA30" s="120">
        <f t="shared" si="3"/>
        <v>0</v>
      </c>
      <c r="AB30" s="122"/>
      <c r="AC30" s="122"/>
      <c r="AD30" s="122"/>
    </row>
    <row r="31">
      <c r="A31" s="160" t="s">
        <v>260</v>
      </c>
      <c r="B31" s="131" t="s">
        <v>273</v>
      </c>
      <c r="C31" s="132"/>
      <c r="D31" s="132"/>
      <c r="E31" s="132"/>
      <c r="F31" s="132"/>
      <c r="G31" s="132"/>
      <c r="H31" s="132"/>
      <c r="I31" s="132"/>
      <c r="J31" s="134"/>
      <c r="K31" s="134"/>
      <c r="L31" s="132"/>
      <c r="M31" s="146" t="s">
        <v>72</v>
      </c>
      <c r="N31" s="132"/>
      <c r="O31" s="132"/>
      <c r="P31" s="132"/>
      <c r="Q31" s="130">
        <v>850.0</v>
      </c>
      <c r="R31" s="132"/>
      <c r="S31" s="132"/>
      <c r="T31" s="132"/>
      <c r="U31" s="130">
        <v>850.0</v>
      </c>
      <c r="V31" s="129"/>
      <c r="W31" s="128"/>
      <c r="X31" s="128"/>
      <c r="Y31" s="128"/>
      <c r="Z31" s="129"/>
      <c r="AA31" s="120">
        <f t="shared" si="3"/>
        <v>0</v>
      </c>
      <c r="AB31" s="122"/>
      <c r="AC31" s="122"/>
      <c r="AD31" s="122"/>
    </row>
    <row r="32">
      <c r="A32" s="160" t="s">
        <v>260</v>
      </c>
      <c r="B32" s="131" t="s">
        <v>274</v>
      </c>
      <c r="C32" s="132"/>
      <c r="D32" s="132"/>
      <c r="E32" s="132"/>
      <c r="F32" s="132"/>
      <c r="G32" s="132"/>
      <c r="H32" s="132"/>
      <c r="I32" s="132"/>
      <c r="J32" s="134"/>
      <c r="K32" s="134"/>
      <c r="L32" s="132"/>
      <c r="M32" s="146" t="s">
        <v>72</v>
      </c>
      <c r="N32" s="132"/>
      <c r="O32" s="132"/>
      <c r="P32" s="130">
        <v>99.0</v>
      </c>
      <c r="Q32" s="132"/>
      <c r="R32" s="132"/>
      <c r="S32" s="132"/>
      <c r="T32" s="132"/>
      <c r="U32" s="130">
        <v>99.0</v>
      </c>
      <c r="V32" s="129"/>
      <c r="W32" s="128"/>
      <c r="X32" s="128"/>
      <c r="Y32" s="128"/>
      <c r="Z32" s="129"/>
      <c r="AA32" s="120">
        <f t="shared" si="3"/>
        <v>0</v>
      </c>
      <c r="AB32" s="122"/>
      <c r="AC32" s="122"/>
      <c r="AD32" s="122"/>
    </row>
    <row r="33">
      <c r="A33" s="152">
        <v>44312.0</v>
      </c>
      <c r="B33" s="146" t="s">
        <v>93</v>
      </c>
      <c r="C33" s="148"/>
      <c r="D33" s="148"/>
      <c r="E33" s="148"/>
      <c r="F33" s="148"/>
      <c r="G33" s="148"/>
      <c r="H33" s="148"/>
      <c r="I33" s="148"/>
      <c r="J33" s="146">
        <v>-160.0</v>
      </c>
      <c r="K33" s="146">
        <v>160.0</v>
      </c>
      <c r="L33" s="148"/>
      <c r="M33" s="146" t="s">
        <v>72</v>
      </c>
      <c r="N33" s="148"/>
      <c r="O33" s="148"/>
      <c r="P33" s="148"/>
      <c r="Q33" s="148"/>
      <c r="R33" s="148"/>
      <c r="S33" s="148"/>
      <c r="T33" s="148"/>
      <c r="U33" s="148"/>
      <c r="V33" s="147"/>
      <c r="W33" s="148"/>
      <c r="X33" s="148"/>
      <c r="Y33" s="148"/>
      <c r="Z33" s="147"/>
      <c r="AA33" s="120">
        <f t="shared" si="3"/>
        <v>0</v>
      </c>
      <c r="AB33" s="121"/>
      <c r="AC33" s="122"/>
      <c r="AD33" s="122"/>
    </row>
    <row r="34">
      <c r="A34" s="152">
        <v>44305.0</v>
      </c>
      <c r="B34" s="146" t="s">
        <v>93</v>
      </c>
      <c r="C34" s="148"/>
      <c r="D34" s="148"/>
      <c r="E34" s="148"/>
      <c r="F34" s="148"/>
      <c r="G34" s="148"/>
      <c r="H34" s="148"/>
      <c r="I34" s="148"/>
      <c r="J34" s="146">
        <v>-160.0</v>
      </c>
      <c r="K34" s="146">
        <v>160.0</v>
      </c>
      <c r="L34" s="148"/>
      <c r="M34" s="146" t="s">
        <v>72</v>
      </c>
      <c r="N34" s="148"/>
      <c r="O34" s="148"/>
      <c r="P34" s="148"/>
      <c r="Q34" s="148"/>
      <c r="R34" s="148"/>
      <c r="S34" s="148"/>
      <c r="T34" s="148"/>
      <c r="U34" s="148"/>
      <c r="V34" s="147"/>
      <c r="W34" s="148"/>
      <c r="X34" s="148"/>
      <c r="Y34" s="148"/>
      <c r="Z34" s="147"/>
      <c r="AA34" s="120">
        <f t="shared" si="3"/>
        <v>0</v>
      </c>
      <c r="AB34" s="121"/>
      <c r="AC34" s="111"/>
      <c r="AD34" s="111"/>
    </row>
    <row r="35">
      <c r="A35" s="152">
        <v>44298.0</v>
      </c>
      <c r="B35" s="146" t="s">
        <v>93</v>
      </c>
      <c r="C35" s="148"/>
      <c r="D35" s="148"/>
      <c r="E35" s="148"/>
      <c r="F35" s="148"/>
      <c r="G35" s="148"/>
      <c r="H35" s="148"/>
      <c r="I35" s="148"/>
      <c r="J35" s="146">
        <v>-160.0</v>
      </c>
      <c r="K35" s="146">
        <v>160.0</v>
      </c>
      <c r="L35" s="148"/>
      <c r="M35" s="146" t="s">
        <v>72</v>
      </c>
      <c r="N35" s="148"/>
      <c r="O35" s="148"/>
      <c r="P35" s="148"/>
      <c r="Q35" s="148"/>
      <c r="R35" s="148"/>
      <c r="S35" s="148"/>
      <c r="T35" s="148"/>
      <c r="U35" s="148"/>
      <c r="V35" s="147"/>
      <c r="W35" s="148"/>
      <c r="X35" s="148"/>
      <c r="Y35" s="148"/>
      <c r="Z35" s="147"/>
      <c r="AA35" s="120">
        <f t="shared" si="3"/>
        <v>0</v>
      </c>
      <c r="AB35" s="111"/>
      <c r="AC35" s="111"/>
      <c r="AD35" s="111"/>
    </row>
    <row r="36">
      <c r="A36" s="152">
        <v>44292.0</v>
      </c>
      <c r="B36" s="146" t="s">
        <v>93</v>
      </c>
      <c r="C36" s="148"/>
      <c r="D36" s="148"/>
      <c r="E36" s="148"/>
      <c r="F36" s="148"/>
      <c r="G36" s="148"/>
      <c r="H36" s="148"/>
      <c r="I36" s="148"/>
      <c r="J36" s="146">
        <v>-160.0</v>
      </c>
      <c r="K36" s="146">
        <v>160.0</v>
      </c>
      <c r="L36" s="148"/>
      <c r="M36" s="146" t="s">
        <v>72</v>
      </c>
      <c r="N36" s="148"/>
      <c r="O36" s="148"/>
      <c r="P36" s="148"/>
      <c r="Q36" s="148"/>
      <c r="R36" s="148"/>
      <c r="S36" s="148"/>
      <c r="T36" s="148"/>
      <c r="U36" s="148"/>
      <c r="V36" s="147"/>
      <c r="W36" s="148"/>
      <c r="X36" s="148"/>
      <c r="Y36" s="147"/>
      <c r="Z36" s="147"/>
      <c r="AA36" s="120">
        <f t="shared" si="3"/>
        <v>0</v>
      </c>
      <c r="AB36" s="122"/>
      <c r="AC36" s="122"/>
      <c r="AD36" s="122"/>
    </row>
    <row r="37">
      <c r="A37" s="152">
        <v>44316.0</v>
      </c>
      <c r="B37" s="146" t="s">
        <v>94</v>
      </c>
      <c r="C37" s="148"/>
      <c r="D37" s="148"/>
      <c r="E37" s="148"/>
      <c r="F37" s="148"/>
      <c r="G37" s="148"/>
      <c r="H37" s="148"/>
      <c r="I37" s="148"/>
      <c r="J37" s="146">
        <v>184.48</v>
      </c>
      <c r="K37" s="148"/>
      <c r="L37" s="148"/>
      <c r="M37" s="146" t="s">
        <v>72</v>
      </c>
      <c r="N37" s="148"/>
      <c r="O37" s="148"/>
      <c r="P37" s="148"/>
      <c r="Q37" s="148"/>
      <c r="R37" s="148"/>
      <c r="S37" s="148"/>
      <c r="T37" s="148"/>
      <c r="U37" s="148"/>
      <c r="V37" s="147"/>
      <c r="W37" s="148"/>
      <c r="X37" s="148"/>
      <c r="Y37" s="148"/>
      <c r="Z37" s="146">
        <v>184.48</v>
      </c>
      <c r="AA37" s="120">
        <f t="shared" si="3"/>
        <v>0</v>
      </c>
      <c r="AB37" s="123"/>
      <c r="AC37" s="122"/>
      <c r="AD37" s="122"/>
    </row>
    <row r="38">
      <c r="A38" s="152">
        <v>44309.0</v>
      </c>
      <c r="B38" s="146" t="s">
        <v>95</v>
      </c>
      <c r="C38" s="148"/>
      <c r="D38" s="148"/>
      <c r="E38" s="148"/>
      <c r="F38" s="148"/>
      <c r="G38" s="148"/>
      <c r="H38" s="148"/>
      <c r="I38" s="148"/>
      <c r="J38" s="148"/>
      <c r="K38" s="148"/>
      <c r="L38" s="148"/>
      <c r="M38" s="146" t="s">
        <v>72</v>
      </c>
      <c r="N38" s="146">
        <v>2816.32</v>
      </c>
      <c r="O38" s="148"/>
      <c r="P38" s="148"/>
      <c r="Q38" s="148"/>
      <c r="R38" s="148"/>
      <c r="S38" s="148"/>
      <c r="T38" s="146">
        <v>2816.32</v>
      </c>
      <c r="U38" s="148"/>
      <c r="V38" s="147"/>
      <c r="W38" s="148"/>
      <c r="X38" s="148"/>
      <c r="Y38" s="148"/>
      <c r="Z38" s="147"/>
      <c r="AA38" s="120">
        <f t="shared" si="3"/>
        <v>0</v>
      </c>
      <c r="AB38" s="122"/>
      <c r="AC38" s="122"/>
      <c r="AD38" s="122"/>
    </row>
    <row r="39">
      <c r="A39" s="152">
        <v>44296.0</v>
      </c>
      <c r="B39" s="146" t="s">
        <v>275</v>
      </c>
      <c r="C39" s="148"/>
      <c r="D39" s="148"/>
      <c r="E39" s="148"/>
      <c r="F39" s="148"/>
      <c r="G39" s="148"/>
      <c r="H39" s="148"/>
      <c r="I39" s="148"/>
      <c r="J39" s="146">
        <v>-3251.2</v>
      </c>
      <c r="K39" s="148"/>
      <c r="L39" s="148"/>
      <c r="M39" s="146" t="s">
        <v>72</v>
      </c>
      <c r="N39" s="147"/>
      <c r="O39" s="148"/>
      <c r="P39" s="148"/>
      <c r="Q39" s="148"/>
      <c r="R39" s="148"/>
      <c r="S39" s="148"/>
      <c r="T39" s="146">
        <v>-3251.2</v>
      </c>
      <c r="U39" s="148"/>
      <c r="V39" s="147"/>
      <c r="W39" s="148"/>
      <c r="X39" s="148"/>
      <c r="Y39" s="148"/>
      <c r="Z39" s="147"/>
      <c r="AA39" s="120">
        <f t="shared" si="3"/>
        <v>0</v>
      </c>
      <c r="AB39" s="121"/>
      <c r="AC39" s="122"/>
      <c r="AD39" s="122"/>
    </row>
    <row r="40">
      <c r="A40" s="146">
        <v>9.0</v>
      </c>
      <c r="B40" s="146" t="s">
        <v>200</v>
      </c>
      <c r="C40" s="148"/>
      <c r="D40" s="146">
        <v>-5637.0</v>
      </c>
      <c r="E40" s="148"/>
      <c r="F40" s="148"/>
      <c r="G40" s="148"/>
      <c r="H40" s="148"/>
      <c r="I40" s="148"/>
      <c r="J40" s="147"/>
      <c r="K40" s="148"/>
      <c r="L40" s="148"/>
      <c r="M40" s="146" t="s">
        <v>72</v>
      </c>
      <c r="N40" s="146">
        <v>5637.0</v>
      </c>
      <c r="O40" s="148"/>
      <c r="P40" s="148"/>
      <c r="Q40" s="148"/>
      <c r="R40" s="148"/>
      <c r="S40" s="148"/>
      <c r="T40" s="147"/>
      <c r="U40" s="148"/>
      <c r="V40" s="147"/>
      <c r="W40" s="148"/>
      <c r="X40" s="148"/>
      <c r="Y40" s="148"/>
      <c r="Z40" s="147"/>
      <c r="AA40" s="120">
        <f t="shared" si="3"/>
        <v>0</v>
      </c>
      <c r="AB40" s="121"/>
      <c r="AC40" s="122"/>
      <c r="AD40" s="122"/>
    </row>
    <row r="41">
      <c r="A41" s="146">
        <v>20.0</v>
      </c>
      <c r="B41" s="146" t="s">
        <v>175</v>
      </c>
      <c r="C41" s="148"/>
      <c r="D41" s="146">
        <v>-531.0</v>
      </c>
      <c r="E41" s="148"/>
      <c r="F41" s="148"/>
      <c r="G41" s="148"/>
      <c r="H41" s="148"/>
      <c r="I41" s="148"/>
      <c r="J41" s="148"/>
      <c r="K41" s="148"/>
      <c r="L41" s="148"/>
      <c r="M41" s="146" t="s">
        <v>72</v>
      </c>
      <c r="N41" s="146">
        <v>531.0</v>
      </c>
      <c r="O41" s="148"/>
      <c r="P41" s="148"/>
      <c r="Q41" s="148"/>
      <c r="R41" s="148"/>
      <c r="S41" s="148"/>
      <c r="T41" s="148"/>
      <c r="U41" s="148"/>
      <c r="V41" s="147"/>
      <c r="W41" s="148"/>
      <c r="X41" s="148"/>
      <c r="Y41" s="148"/>
      <c r="Z41" s="147"/>
      <c r="AA41" s="120">
        <f t="shared" si="3"/>
        <v>0</v>
      </c>
      <c r="AB41" s="122"/>
      <c r="AC41" s="122"/>
      <c r="AD41" s="122"/>
    </row>
    <row r="42">
      <c r="A42" s="146">
        <v>23.0</v>
      </c>
      <c r="B42" s="146" t="s">
        <v>200</v>
      </c>
      <c r="C42" s="148"/>
      <c r="D42" s="146">
        <v>-10455.0</v>
      </c>
      <c r="E42" s="148"/>
      <c r="F42" s="148"/>
      <c r="G42" s="148"/>
      <c r="H42" s="148"/>
      <c r="I42" s="148"/>
      <c r="J42" s="148"/>
      <c r="K42" s="148"/>
      <c r="L42" s="148"/>
      <c r="M42" s="146" t="s">
        <v>72</v>
      </c>
      <c r="N42" s="146">
        <v>10455.0</v>
      </c>
      <c r="O42" s="148"/>
      <c r="P42" s="148"/>
      <c r="Q42" s="148"/>
      <c r="R42" s="148"/>
      <c r="S42" s="148"/>
      <c r="T42" s="148"/>
      <c r="U42" s="148"/>
      <c r="V42" s="147"/>
      <c r="W42" s="148"/>
      <c r="X42" s="148"/>
      <c r="Y42" s="148"/>
      <c r="Z42" s="147"/>
      <c r="AA42" s="120">
        <f t="shared" si="3"/>
        <v>0</v>
      </c>
      <c r="AB42" s="121"/>
      <c r="AC42" s="111"/>
      <c r="AD42" s="111"/>
    </row>
    <row r="43">
      <c r="A43" s="146">
        <v>24.0</v>
      </c>
      <c r="B43" s="146" t="s">
        <v>98</v>
      </c>
      <c r="C43" s="148"/>
      <c r="D43" s="146">
        <v>-1561.0</v>
      </c>
      <c r="E43" s="148"/>
      <c r="F43" s="148"/>
      <c r="G43" s="148"/>
      <c r="H43" s="148"/>
      <c r="I43" s="148"/>
      <c r="J43" s="148"/>
      <c r="K43" s="148"/>
      <c r="L43" s="148"/>
      <c r="M43" s="146" t="s">
        <v>72</v>
      </c>
      <c r="N43" s="146">
        <v>1561.0</v>
      </c>
      <c r="O43" s="148"/>
      <c r="P43" s="148"/>
      <c r="Q43" s="148"/>
      <c r="R43" s="148"/>
      <c r="S43" s="148"/>
      <c r="T43" s="148"/>
      <c r="U43" s="148"/>
      <c r="V43" s="147"/>
      <c r="W43" s="148"/>
      <c r="X43" s="148"/>
      <c r="Y43" s="148"/>
      <c r="Z43" s="147"/>
      <c r="AA43" s="120">
        <f t="shared" si="3"/>
        <v>0</v>
      </c>
      <c r="AB43" s="121"/>
      <c r="AC43" s="111"/>
      <c r="AD43" s="111"/>
    </row>
    <row r="44">
      <c r="A44" s="146">
        <v>30.0</v>
      </c>
      <c r="B44" s="146" t="s">
        <v>200</v>
      </c>
      <c r="C44" s="148"/>
      <c r="D44" s="146">
        <v>-8305.0</v>
      </c>
      <c r="E44" s="148"/>
      <c r="F44" s="148"/>
      <c r="G44" s="148"/>
      <c r="H44" s="148"/>
      <c r="I44" s="148"/>
      <c r="J44" s="148"/>
      <c r="K44" s="148"/>
      <c r="L44" s="148"/>
      <c r="M44" s="146" t="s">
        <v>72</v>
      </c>
      <c r="N44" s="146">
        <v>8305.0</v>
      </c>
      <c r="O44" s="148"/>
      <c r="P44" s="148"/>
      <c r="Q44" s="148"/>
      <c r="R44" s="148"/>
      <c r="S44" s="148"/>
      <c r="T44" s="148"/>
      <c r="U44" s="148"/>
      <c r="V44" s="147"/>
      <c r="W44" s="148"/>
      <c r="X44" s="148"/>
      <c r="Y44" s="148"/>
      <c r="Z44" s="147"/>
      <c r="AA44" s="120">
        <f t="shared" si="3"/>
        <v>0</v>
      </c>
      <c r="AB44" s="121"/>
      <c r="AC44" s="122"/>
      <c r="AD44" s="122"/>
    </row>
    <row r="45">
      <c r="A45" s="146">
        <v>5.0</v>
      </c>
      <c r="B45" s="146" t="s">
        <v>98</v>
      </c>
      <c r="C45" s="148"/>
      <c r="D45" s="146">
        <v>-329.0</v>
      </c>
      <c r="E45" s="148"/>
      <c r="F45" s="148"/>
      <c r="G45" s="148"/>
      <c r="H45" s="148"/>
      <c r="I45" s="148"/>
      <c r="J45" s="148"/>
      <c r="K45" s="148"/>
      <c r="L45" s="148"/>
      <c r="M45" s="146" t="s">
        <v>72</v>
      </c>
      <c r="N45" s="146">
        <v>329.0</v>
      </c>
      <c r="O45" s="148"/>
      <c r="P45" s="148"/>
      <c r="Q45" s="148"/>
      <c r="R45" s="148"/>
      <c r="S45" s="148"/>
      <c r="T45" s="148"/>
      <c r="U45" s="148"/>
      <c r="V45" s="147"/>
      <c r="W45" s="148"/>
      <c r="X45" s="148"/>
      <c r="Y45" s="148"/>
      <c r="Z45" s="147"/>
      <c r="AA45" s="120">
        <f t="shared" si="3"/>
        <v>0</v>
      </c>
      <c r="AB45" s="111"/>
      <c r="AC45" s="111"/>
      <c r="AD45" s="111"/>
    </row>
    <row r="46">
      <c r="A46" s="146">
        <v>5.0</v>
      </c>
      <c r="B46" s="146" t="s">
        <v>175</v>
      </c>
      <c r="C46" s="148"/>
      <c r="D46" s="146">
        <v>-3129.0</v>
      </c>
      <c r="E46" s="148"/>
      <c r="F46" s="148"/>
      <c r="G46" s="148"/>
      <c r="H46" s="148"/>
      <c r="I46" s="148"/>
      <c r="J46" s="148"/>
      <c r="K46" s="148"/>
      <c r="L46" s="148"/>
      <c r="M46" s="146" t="s">
        <v>72</v>
      </c>
      <c r="N46" s="146">
        <v>3129.0</v>
      </c>
      <c r="O46" s="148"/>
      <c r="P46" s="148"/>
      <c r="Q46" s="148"/>
      <c r="R46" s="148"/>
      <c r="S46" s="148"/>
      <c r="T46" s="148"/>
      <c r="U46" s="148"/>
      <c r="V46" s="147"/>
      <c r="W46" s="148"/>
      <c r="X46" s="148"/>
      <c r="Y46" s="148"/>
      <c r="Z46" s="147"/>
      <c r="AA46" s="120">
        <f t="shared" si="3"/>
        <v>0</v>
      </c>
      <c r="AB46" s="121"/>
      <c r="AC46" s="122"/>
      <c r="AD46" s="122"/>
    </row>
    <row r="47">
      <c r="A47" s="146">
        <v>21.0</v>
      </c>
      <c r="B47" s="146" t="s">
        <v>200</v>
      </c>
      <c r="C47" s="148"/>
      <c r="D47" s="146">
        <v>-139.0</v>
      </c>
      <c r="E47" s="148"/>
      <c r="F47" s="148"/>
      <c r="G47" s="148"/>
      <c r="H47" s="148"/>
      <c r="I47" s="148"/>
      <c r="J47" s="148"/>
      <c r="K47" s="148"/>
      <c r="L47" s="148"/>
      <c r="M47" s="146" t="s">
        <v>72</v>
      </c>
      <c r="N47" s="146">
        <v>139.0</v>
      </c>
      <c r="O47" s="148"/>
      <c r="P47" s="148"/>
      <c r="Q47" s="147"/>
      <c r="R47" s="148"/>
      <c r="S47" s="148"/>
      <c r="T47" s="148"/>
      <c r="U47" s="148"/>
      <c r="V47" s="147"/>
      <c r="W47" s="148"/>
      <c r="X47" s="148"/>
      <c r="Y47" s="148"/>
      <c r="Z47" s="147"/>
      <c r="AA47" s="120">
        <f t="shared" si="3"/>
        <v>0</v>
      </c>
      <c r="AB47" s="122"/>
      <c r="AC47" s="122"/>
      <c r="AD47" s="122"/>
    </row>
    <row r="48">
      <c r="A48" s="146">
        <v>27.0</v>
      </c>
      <c r="B48" s="146" t="s">
        <v>200</v>
      </c>
      <c r="C48" s="148"/>
      <c r="D48" s="146">
        <v>-5666.0</v>
      </c>
      <c r="E48" s="148"/>
      <c r="F48" s="148"/>
      <c r="G48" s="148"/>
      <c r="H48" s="148"/>
      <c r="I48" s="148"/>
      <c r="J48" s="148"/>
      <c r="K48" s="148"/>
      <c r="L48" s="148"/>
      <c r="M48" s="146" t="s">
        <v>72</v>
      </c>
      <c r="N48" s="146">
        <v>5666.0</v>
      </c>
      <c r="O48" s="148"/>
      <c r="P48" s="148"/>
      <c r="Q48" s="147"/>
      <c r="R48" s="148"/>
      <c r="S48" s="148"/>
      <c r="T48" s="148"/>
      <c r="U48" s="148"/>
      <c r="V48" s="147"/>
      <c r="W48" s="148"/>
      <c r="X48" s="148"/>
      <c r="Y48" s="148"/>
      <c r="Z48" s="147"/>
      <c r="AA48" s="120">
        <f t="shared" si="3"/>
        <v>0</v>
      </c>
      <c r="AB48" s="121"/>
      <c r="AC48" s="122"/>
      <c r="AD48" s="122"/>
    </row>
    <row r="49">
      <c r="A49" s="146">
        <v>19.0</v>
      </c>
      <c r="B49" s="146" t="s">
        <v>200</v>
      </c>
      <c r="C49" s="148"/>
      <c r="D49" s="146">
        <v>-7297.0</v>
      </c>
      <c r="E49" s="148"/>
      <c r="F49" s="148"/>
      <c r="G49" s="148"/>
      <c r="H49" s="148"/>
      <c r="I49" s="148"/>
      <c r="J49" s="148"/>
      <c r="K49" s="148"/>
      <c r="L49" s="148"/>
      <c r="M49" s="146" t="s">
        <v>72</v>
      </c>
      <c r="N49" s="146">
        <v>7297.0</v>
      </c>
      <c r="O49" s="147"/>
      <c r="P49" s="148"/>
      <c r="Q49" s="148"/>
      <c r="R49" s="148"/>
      <c r="S49" s="148"/>
      <c r="T49" s="148"/>
      <c r="U49" s="148"/>
      <c r="V49" s="147"/>
      <c r="W49" s="148"/>
      <c r="X49" s="148"/>
      <c r="Y49" s="148"/>
      <c r="Z49" s="147"/>
      <c r="AA49" s="120">
        <f t="shared" si="3"/>
        <v>0</v>
      </c>
      <c r="AB49" s="111"/>
      <c r="AC49" s="111"/>
      <c r="AD49" s="111"/>
    </row>
    <row r="50">
      <c r="A50" s="146">
        <v>12.0</v>
      </c>
      <c r="B50" s="146" t="s">
        <v>200</v>
      </c>
      <c r="C50" s="148"/>
      <c r="D50" s="146">
        <v>-7708.0</v>
      </c>
      <c r="E50" s="148"/>
      <c r="F50" s="148"/>
      <c r="G50" s="148"/>
      <c r="H50" s="148"/>
      <c r="I50" s="148"/>
      <c r="J50" s="148"/>
      <c r="K50" s="148"/>
      <c r="L50" s="148"/>
      <c r="M50" s="146" t="s">
        <v>72</v>
      </c>
      <c r="N50" s="146">
        <v>7708.0</v>
      </c>
      <c r="O50" s="147"/>
      <c r="P50" s="148"/>
      <c r="Q50" s="148"/>
      <c r="R50" s="148"/>
      <c r="S50" s="148"/>
      <c r="T50" s="148"/>
      <c r="U50" s="148"/>
      <c r="V50" s="147"/>
      <c r="W50" s="148"/>
      <c r="X50" s="148"/>
      <c r="Y50" s="148"/>
      <c r="Z50" s="147"/>
      <c r="AA50" s="120">
        <f t="shared" si="3"/>
        <v>0</v>
      </c>
      <c r="AB50" s="121"/>
      <c r="AC50" s="122"/>
      <c r="AD50" s="122"/>
    </row>
    <row r="51">
      <c r="A51" s="146">
        <v>13.0</v>
      </c>
      <c r="B51" s="146" t="s">
        <v>200</v>
      </c>
      <c r="C51" s="147"/>
      <c r="D51" s="146">
        <v>-1398.0</v>
      </c>
      <c r="E51" s="148"/>
      <c r="F51" s="148"/>
      <c r="G51" s="148"/>
      <c r="H51" s="148"/>
      <c r="I51" s="148"/>
      <c r="J51" s="148"/>
      <c r="K51" s="148"/>
      <c r="L51" s="148"/>
      <c r="M51" s="146" t="s">
        <v>72</v>
      </c>
      <c r="N51" s="146">
        <v>1398.0</v>
      </c>
      <c r="O51" s="148"/>
      <c r="P51" s="148"/>
      <c r="Q51" s="147"/>
      <c r="R51" s="148"/>
      <c r="S51" s="148"/>
      <c r="T51" s="148"/>
      <c r="U51" s="148"/>
      <c r="V51" s="147"/>
      <c r="W51" s="148"/>
      <c r="X51" s="148"/>
      <c r="Y51" s="148"/>
      <c r="Z51" s="147"/>
      <c r="AA51" s="120">
        <f t="shared" si="3"/>
        <v>0</v>
      </c>
      <c r="AB51" s="121"/>
      <c r="AC51" s="111"/>
      <c r="AD51" s="111"/>
    </row>
    <row r="52">
      <c r="A52" s="146">
        <v>5.0</v>
      </c>
      <c r="B52" s="146" t="s">
        <v>99</v>
      </c>
      <c r="C52" s="147"/>
      <c r="D52" s="146">
        <v>-220.0</v>
      </c>
      <c r="E52" s="148"/>
      <c r="F52" s="148"/>
      <c r="G52" s="148"/>
      <c r="H52" s="148"/>
      <c r="I52" s="148"/>
      <c r="J52" s="148"/>
      <c r="K52" s="148"/>
      <c r="L52" s="148"/>
      <c r="M52" s="146" t="s">
        <v>72</v>
      </c>
      <c r="N52" s="148"/>
      <c r="O52" s="148"/>
      <c r="P52" s="148"/>
      <c r="Q52" s="146">
        <v>220.0</v>
      </c>
      <c r="R52" s="148"/>
      <c r="S52" s="148"/>
      <c r="T52" s="148"/>
      <c r="U52" s="148"/>
      <c r="V52" s="147"/>
      <c r="W52" s="148"/>
      <c r="X52" s="148"/>
      <c r="Y52" s="148"/>
      <c r="Z52" s="147"/>
      <c r="AA52" s="120">
        <f t="shared" si="3"/>
        <v>0</v>
      </c>
      <c r="AB52" s="121"/>
      <c r="AC52" s="111"/>
      <c r="AD52" s="111"/>
    </row>
    <row r="53">
      <c r="A53" s="146">
        <v>13.0</v>
      </c>
      <c r="B53" s="146" t="s">
        <v>102</v>
      </c>
      <c r="C53" s="147"/>
      <c r="D53" s="146">
        <v>-540.0</v>
      </c>
      <c r="E53" s="148"/>
      <c r="F53" s="148"/>
      <c r="G53" s="148"/>
      <c r="H53" s="148"/>
      <c r="I53" s="148"/>
      <c r="J53" s="148"/>
      <c r="K53" s="148"/>
      <c r="L53" s="148"/>
      <c r="M53" s="146" t="s">
        <v>72</v>
      </c>
      <c r="N53" s="148"/>
      <c r="O53" s="148"/>
      <c r="P53" s="148"/>
      <c r="Q53" s="146">
        <v>540.0</v>
      </c>
      <c r="R53" s="148"/>
      <c r="S53" s="148"/>
      <c r="T53" s="148"/>
      <c r="U53" s="148"/>
      <c r="V53" s="147"/>
      <c r="W53" s="148"/>
      <c r="X53" s="147"/>
      <c r="Y53" s="148"/>
      <c r="Z53" s="147"/>
      <c r="AA53" s="120">
        <f t="shared" si="3"/>
        <v>0</v>
      </c>
      <c r="AB53" s="111"/>
      <c r="AC53" s="111"/>
      <c r="AD53" s="111"/>
    </row>
    <row r="54">
      <c r="A54" s="146">
        <v>21.0</v>
      </c>
      <c r="B54" s="146" t="s">
        <v>120</v>
      </c>
      <c r="C54" s="147"/>
      <c r="D54" s="146">
        <v>-530.0</v>
      </c>
      <c r="E54" s="148"/>
      <c r="F54" s="148"/>
      <c r="G54" s="148"/>
      <c r="H54" s="148"/>
      <c r="I54" s="148"/>
      <c r="J54" s="148"/>
      <c r="K54" s="148"/>
      <c r="L54" s="148"/>
      <c r="M54" s="146" t="s">
        <v>72</v>
      </c>
      <c r="N54" s="148"/>
      <c r="O54" s="148"/>
      <c r="P54" s="148"/>
      <c r="Q54" s="146">
        <v>530.0</v>
      </c>
      <c r="R54" s="148"/>
      <c r="S54" s="148"/>
      <c r="T54" s="148"/>
      <c r="U54" s="148"/>
      <c r="V54" s="147"/>
      <c r="W54" s="148"/>
      <c r="X54" s="148"/>
      <c r="Y54" s="148"/>
      <c r="Z54" s="147"/>
      <c r="AA54" s="120">
        <f t="shared" si="3"/>
        <v>0</v>
      </c>
      <c r="AB54" s="122"/>
      <c r="AC54" s="122"/>
      <c r="AD54" s="122"/>
    </row>
    <row r="55">
      <c r="A55" s="146">
        <v>23.0</v>
      </c>
      <c r="B55" s="146" t="s">
        <v>120</v>
      </c>
      <c r="C55" s="147"/>
      <c r="D55" s="146">
        <v>-186.0</v>
      </c>
      <c r="E55" s="148"/>
      <c r="F55" s="148"/>
      <c r="G55" s="148"/>
      <c r="H55" s="148"/>
      <c r="I55" s="148"/>
      <c r="J55" s="148"/>
      <c r="K55" s="148"/>
      <c r="L55" s="148"/>
      <c r="M55" s="146" t="s">
        <v>72</v>
      </c>
      <c r="N55" s="148"/>
      <c r="O55" s="148"/>
      <c r="P55" s="148"/>
      <c r="Q55" s="146">
        <v>186.0</v>
      </c>
      <c r="R55" s="148"/>
      <c r="S55" s="148"/>
      <c r="T55" s="148"/>
      <c r="U55" s="147"/>
      <c r="V55" s="147"/>
      <c r="W55" s="148"/>
      <c r="X55" s="148"/>
      <c r="Y55" s="148"/>
      <c r="Z55" s="147"/>
      <c r="AA55" s="120">
        <f t="shared" si="3"/>
        <v>0</v>
      </c>
      <c r="AB55" s="121"/>
      <c r="AC55" s="122"/>
      <c r="AD55" s="122"/>
    </row>
    <row r="56">
      <c r="A56" s="146">
        <v>30.0</v>
      </c>
      <c r="B56" s="146" t="s">
        <v>101</v>
      </c>
      <c r="C56" s="147"/>
      <c r="D56" s="146">
        <v>-444.0</v>
      </c>
      <c r="E56" s="148"/>
      <c r="F56" s="148"/>
      <c r="G56" s="148"/>
      <c r="H56" s="148"/>
      <c r="I56" s="148"/>
      <c r="J56" s="148"/>
      <c r="K56" s="148"/>
      <c r="L56" s="148"/>
      <c r="M56" s="146" t="s">
        <v>72</v>
      </c>
      <c r="N56" s="148"/>
      <c r="O56" s="148"/>
      <c r="P56" s="148"/>
      <c r="Q56" s="146">
        <v>444.0</v>
      </c>
      <c r="R56" s="148"/>
      <c r="S56" s="148"/>
      <c r="T56" s="148"/>
      <c r="U56" s="147"/>
      <c r="V56" s="147"/>
      <c r="W56" s="148"/>
      <c r="X56" s="148"/>
      <c r="Y56" s="148"/>
      <c r="Z56" s="147"/>
      <c r="AA56" s="120">
        <f t="shared" si="3"/>
        <v>0</v>
      </c>
      <c r="AB56" s="122"/>
      <c r="AC56" s="122"/>
      <c r="AD56" s="122"/>
    </row>
    <row r="57">
      <c r="A57" s="146">
        <v>13.0</v>
      </c>
      <c r="B57" s="146" t="s">
        <v>102</v>
      </c>
      <c r="C57" s="148"/>
      <c r="D57" s="146">
        <v>-250.0</v>
      </c>
      <c r="E57" s="147"/>
      <c r="F57" s="147"/>
      <c r="G57" s="148"/>
      <c r="H57" s="148"/>
      <c r="I57" s="148"/>
      <c r="J57" s="148"/>
      <c r="K57" s="148"/>
      <c r="L57" s="148"/>
      <c r="M57" s="146" t="s">
        <v>72</v>
      </c>
      <c r="N57" s="147"/>
      <c r="O57" s="148"/>
      <c r="P57" s="148"/>
      <c r="Q57" s="146">
        <v>250.0</v>
      </c>
      <c r="R57" s="148"/>
      <c r="S57" s="148"/>
      <c r="T57" s="148"/>
      <c r="U57" s="148"/>
      <c r="V57" s="147"/>
      <c r="W57" s="148"/>
      <c r="X57" s="148"/>
      <c r="Y57" s="148"/>
      <c r="Z57" s="147"/>
      <c r="AA57" s="120">
        <f t="shared" si="3"/>
        <v>0</v>
      </c>
      <c r="AB57" s="122"/>
      <c r="AC57" s="122"/>
      <c r="AD57" s="122"/>
    </row>
    <row r="58">
      <c r="A58" s="146">
        <v>20.0</v>
      </c>
      <c r="B58" s="146" t="s">
        <v>253</v>
      </c>
      <c r="C58" s="148"/>
      <c r="D58" s="146">
        <v>-820.0</v>
      </c>
      <c r="E58" s="147"/>
      <c r="F58" s="147"/>
      <c r="G58" s="148"/>
      <c r="H58" s="148"/>
      <c r="I58" s="148"/>
      <c r="J58" s="148"/>
      <c r="K58" s="148"/>
      <c r="L58" s="148"/>
      <c r="M58" s="146" t="s">
        <v>72</v>
      </c>
      <c r="N58" s="147"/>
      <c r="O58" s="148"/>
      <c r="P58" s="148"/>
      <c r="Q58" s="146">
        <v>820.0</v>
      </c>
      <c r="R58" s="148"/>
      <c r="S58" s="148"/>
      <c r="T58" s="148"/>
      <c r="U58" s="148"/>
      <c r="V58" s="147"/>
      <c r="W58" s="148"/>
      <c r="X58" s="148"/>
      <c r="Y58" s="148"/>
      <c r="Z58" s="147"/>
      <c r="AA58" s="120">
        <f t="shared" si="3"/>
        <v>0</v>
      </c>
      <c r="AB58" s="122"/>
      <c r="AC58" s="122"/>
      <c r="AD58" s="122"/>
    </row>
    <row r="59">
      <c r="A59" s="146">
        <v>28.0</v>
      </c>
      <c r="B59" s="146" t="s">
        <v>29</v>
      </c>
      <c r="C59" s="146">
        <v>148000.0</v>
      </c>
      <c r="D59" s="147"/>
      <c r="E59" s="148"/>
      <c r="F59" s="148"/>
      <c r="G59" s="148"/>
      <c r="H59" s="148"/>
      <c r="I59" s="148"/>
      <c r="J59" s="148"/>
      <c r="K59" s="148"/>
      <c r="L59" s="148"/>
      <c r="M59" s="147"/>
      <c r="N59" s="147"/>
      <c r="O59" s="148"/>
      <c r="P59" s="148"/>
      <c r="Q59" s="148"/>
      <c r="R59" s="148"/>
      <c r="S59" s="148"/>
      <c r="T59" s="148"/>
      <c r="U59" s="148"/>
      <c r="V59" s="147"/>
      <c r="W59" s="148"/>
      <c r="X59" s="146">
        <v>148000.0</v>
      </c>
      <c r="Y59" s="148"/>
      <c r="Z59" s="147"/>
      <c r="AA59" s="120">
        <f t="shared" si="3"/>
        <v>0</v>
      </c>
      <c r="AB59" s="122"/>
      <c r="AC59" s="122"/>
      <c r="AD59" s="122"/>
    </row>
    <row r="60">
      <c r="A60" s="146">
        <v>12.0</v>
      </c>
      <c r="B60" s="146" t="s">
        <v>103</v>
      </c>
      <c r="C60" s="146">
        <v>-30000.0</v>
      </c>
      <c r="D60" s="146">
        <v>30000.0</v>
      </c>
      <c r="E60" s="148"/>
      <c r="F60" s="148"/>
      <c r="G60" s="148"/>
      <c r="H60" s="148"/>
      <c r="I60" s="148"/>
      <c r="J60" s="148"/>
      <c r="K60" s="148"/>
      <c r="L60" s="148"/>
      <c r="M60" s="147"/>
      <c r="N60" s="148"/>
      <c r="O60" s="148"/>
      <c r="P60" s="148"/>
      <c r="Q60" s="147"/>
      <c r="R60" s="148"/>
      <c r="S60" s="148"/>
      <c r="T60" s="148"/>
      <c r="U60" s="148"/>
      <c r="V60" s="147"/>
      <c r="W60" s="148"/>
      <c r="X60" s="148"/>
      <c r="Y60" s="148"/>
      <c r="Z60" s="147"/>
      <c r="AA60" s="120">
        <f t="shared" si="3"/>
        <v>0</v>
      </c>
      <c r="AB60" s="111"/>
      <c r="AC60" s="111"/>
      <c r="AD60" s="111"/>
    </row>
    <row r="61">
      <c r="A61" s="146">
        <v>27.0</v>
      </c>
      <c r="B61" s="146" t="s">
        <v>103</v>
      </c>
      <c r="C61" s="146">
        <v>-50000.0</v>
      </c>
      <c r="D61" s="146">
        <v>50000.0</v>
      </c>
      <c r="E61" s="148"/>
      <c r="F61" s="148"/>
      <c r="G61" s="148"/>
      <c r="H61" s="148"/>
      <c r="I61" s="148"/>
      <c r="J61" s="148"/>
      <c r="K61" s="148"/>
      <c r="L61" s="148"/>
      <c r="M61" s="147"/>
      <c r="N61" s="148"/>
      <c r="O61" s="148"/>
      <c r="P61" s="148"/>
      <c r="Q61" s="148"/>
      <c r="R61" s="148"/>
      <c r="S61" s="148"/>
      <c r="T61" s="148"/>
      <c r="U61" s="148"/>
      <c r="V61" s="147"/>
      <c r="W61" s="148"/>
      <c r="X61" s="148"/>
      <c r="Y61" s="148"/>
      <c r="Z61" s="147"/>
      <c r="AA61" s="120">
        <f t="shared" si="3"/>
        <v>0</v>
      </c>
      <c r="AB61" s="122"/>
      <c r="AC61" s="122"/>
      <c r="AD61" s="122"/>
    </row>
    <row r="62">
      <c r="A62" s="146">
        <v>26.0</v>
      </c>
      <c r="B62" s="146" t="s">
        <v>122</v>
      </c>
      <c r="C62" s="146">
        <v>-84066.0</v>
      </c>
      <c r="D62" s="148"/>
      <c r="E62" s="148"/>
      <c r="F62" s="148"/>
      <c r="G62" s="148"/>
      <c r="H62" s="147"/>
      <c r="I62" s="148"/>
      <c r="J62" s="148"/>
      <c r="K62" s="148"/>
      <c r="L62" s="148"/>
      <c r="M62" s="146" t="s">
        <v>81</v>
      </c>
      <c r="N62" s="147"/>
      <c r="O62" s="148"/>
      <c r="P62" s="148"/>
      <c r="Q62" s="148"/>
      <c r="R62" s="148"/>
      <c r="S62" s="148"/>
      <c r="T62" s="148"/>
      <c r="U62" s="146">
        <v>-84066.0</v>
      </c>
      <c r="V62" s="147"/>
      <c r="W62" s="148"/>
      <c r="X62" s="148"/>
      <c r="Y62" s="148"/>
      <c r="Z62" s="147"/>
      <c r="AA62" s="120">
        <f t="shared" si="3"/>
        <v>0</v>
      </c>
      <c r="AB62" s="122"/>
      <c r="AC62" s="122"/>
      <c r="AD62" s="122"/>
    </row>
    <row r="63">
      <c r="A63" s="124"/>
      <c r="B63" s="124" t="s">
        <v>276</v>
      </c>
      <c r="C63" s="122"/>
      <c r="D63" s="122"/>
      <c r="E63" s="122"/>
      <c r="F63" s="122"/>
      <c r="G63" s="122"/>
      <c r="H63" s="122"/>
      <c r="I63" s="122"/>
      <c r="J63" s="122"/>
      <c r="K63" s="122"/>
      <c r="L63" s="124">
        <f>66*2*16</f>
        <v>2112</v>
      </c>
      <c r="M63" s="124"/>
      <c r="N63" s="122"/>
      <c r="O63" s="122"/>
      <c r="P63" s="122"/>
      <c r="Q63" s="122"/>
      <c r="R63" s="122"/>
      <c r="S63" s="122"/>
      <c r="T63" s="122"/>
      <c r="U63" s="122"/>
      <c r="V63" s="124"/>
      <c r="W63" s="122"/>
      <c r="X63" s="122"/>
      <c r="Y63" s="122"/>
      <c r="Z63" s="124">
        <v>2112.0</v>
      </c>
      <c r="AA63" s="120">
        <f t="shared" si="3"/>
        <v>0</v>
      </c>
      <c r="AB63" s="122"/>
      <c r="AC63" s="122"/>
      <c r="AD63" s="122"/>
    </row>
    <row r="64">
      <c r="A64" s="136"/>
      <c r="B64" s="127" t="s">
        <v>277</v>
      </c>
      <c r="C64" s="128"/>
      <c r="D64" s="128"/>
      <c r="E64" s="128"/>
      <c r="F64" s="128"/>
      <c r="G64" s="128"/>
      <c r="H64" s="128"/>
      <c r="I64" s="128"/>
      <c r="J64" s="128"/>
      <c r="K64" s="128"/>
      <c r="L64" s="127">
        <v>160.0</v>
      </c>
      <c r="M64" s="127"/>
      <c r="N64" s="127"/>
      <c r="O64" s="128"/>
      <c r="P64" s="128"/>
      <c r="Q64" s="128"/>
      <c r="R64" s="128"/>
      <c r="S64" s="128"/>
      <c r="T64" s="128"/>
      <c r="U64" s="127"/>
      <c r="V64" s="129"/>
      <c r="W64" s="128"/>
      <c r="X64" s="128"/>
      <c r="Y64" s="128"/>
      <c r="Z64" s="127">
        <v>160.0</v>
      </c>
      <c r="AA64" s="120">
        <f t="shared" si="3"/>
        <v>0</v>
      </c>
      <c r="AB64" s="122"/>
      <c r="AC64" s="122"/>
      <c r="AD64" s="122"/>
    </row>
    <row r="65">
      <c r="A65" s="136"/>
      <c r="B65" s="127" t="s">
        <v>278</v>
      </c>
      <c r="C65" s="128"/>
      <c r="D65" s="128"/>
      <c r="E65" s="128"/>
      <c r="F65" s="128"/>
      <c r="G65" s="128"/>
      <c r="H65" s="128"/>
      <c r="I65" s="128"/>
      <c r="J65" s="128"/>
      <c r="K65" s="128"/>
      <c r="L65" s="127">
        <v>-1600.0</v>
      </c>
      <c r="M65" s="127"/>
      <c r="N65" s="127"/>
      <c r="O65" s="128"/>
      <c r="P65" s="128"/>
      <c r="Q65" s="128"/>
      <c r="R65" s="128"/>
      <c r="S65" s="127">
        <v>-1600.0</v>
      </c>
      <c r="T65" s="128"/>
      <c r="U65" s="127"/>
      <c r="V65" s="129"/>
      <c r="W65" s="128"/>
      <c r="X65" s="128"/>
      <c r="Y65" s="128"/>
      <c r="Z65" s="129"/>
      <c r="AA65" s="120">
        <f t="shared" si="3"/>
        <v>0</v>
      </c>
      <c r="AB65" s="122"/>
      <c r="AC65" s="122"/>
      <c r="AD65" s="122"/>
    </row>
    <row r="66">
      <c r="A66" s="153"/>
      <c r="B66" s="125" t="s">
        <v>279</v>
      </c>
      <c r="C66" s="143"/>
      <c r="D66" s="149">
        <v>-200.0</v>
      </c>
      <c r="E66" s="122"/>
      <c r="F66" s="122"/>
      <c r="G66" s="122"/>
      <c r="H66" s="122"/>
      <c r="I66" s="122"/>
      <c r="J66" s="122"/>
      <c r="K66" s="122"/>
      <c r="L66" s="122"/>
      <c r="M66" s="124" t="s">
        <v>72</v>
      </c>
      <c r="N66" s="122"/>
      <c r="O66" s="122"/>
      <c r="P66" s="122"/>
      <c r="Q66" s="124">
        <v>200.0</v>
      </c>
      <c r="R66" s="122"/>
      <c r="S66" s="122"/>
      <c r="T66" s="122"/>
      <c r="U66" s="122"/>
      <c r="V66" s="124"/>
      <c r="W66" s="122"/>
      <c r="X66" s="122"/>
      <c r="Y66" s="122"/>
      <c r="Z66" s="124"/>
      <c r="AA66" s="120">
        <f t="shared" si="3"/>
        <v>0</v>
      </c>
      <c r="AB66" s="122"/>
      <c r="AC66" s="122"/>
      <c r="AD66" s="122"/>
    </row>
    <row r="67">
      <c r="A67" s="153"/>
      <c r="B67" s="125" t="s">
        <v>280</v>
      </c>
      <c r="C67" s="143"/>
      <c r="D67" s="143">
        <f>-(1160+607+1370)</f>
        <v>-3137</v>
      </c>
      <c r="E67" s="122"/>
      <c r="F67" s="122"/>
      <c r="G67" s="122"/>
      <c r="H67" s="122"/>
      <c r="I67" s="122"/>
      <c r="J67" s="122"/>
      <c r="K67" s="122"/>
      <c r="L67" s="122"/>
      <c r="M67" s="124" t="s">
        <v>72</v>
      </c>
      <c r="N67" s="124">
        <v>3137.0</v>
      </c>
      <c r="O67" s="122"/>
      <c r="P67" s="122"/>
      <c r="Q67" s="122"/>
      <c r="R67" s="122"/>
      <c r="S67" s="122"/>
      <c r="T67" s="122"/>
      <c r="U67" s="122"/>
      <c r="V67" s="124"/>
      <c r="W67" s="122"/>
      <c r="X67" s="122"/>
      <c r="Y67" s="122"/>
      <c r="Z67" s="124"/>
      <c r="AA67" s="120">
        <f t="shared" si="3"/>
        <v>0</v>
      </c>
      <c r="AB67" s="122"/>
      <c r="AC67" s="122"/>
      <c r="AD67" s="122"/>
    </row>
    <row r="68">
      <c r="A68" s="153"/>
      <c r="B68" s="125" t="s">
        <v>281</v>
      </c>
      <c r="C68" s="143"/>
      <c r="D68" s="149">
        <v>-2800.0</v>
      </c>
      <c r="E68" s="122"/>
      <c r="F68" s="122"/>
      <c r="G68" s="122"/>
      <c r="H68" s="122"/>
      <c r="I68" s="122"/>
      <c r="J68" s="122"/>
      <c r="K68" s="122"/>
      <c r="L68" s="122"/>
      <c r="M68" s="124" t="s">
        <v>72</v>
      </c>
      <c r="N68" s="124"/>
      <c r="O68" s="122"/>
      <c r="P68" s="122"/>
      <c r="Q68" s="124">
        <v>2800.0</v>
      </c>
      <c r="R68" s="122"/>
      <c r="S68" s="122"/>
      <c r="T68" s="122"/>
      <c r="U68" s="122"/>
      <c r="V68" s="124"/>
      <c r="W68" s="122"/>
      <c r="X68" s="122"/>
      <c r="Y68" s="122"/>
      <c r="Z68" s="124"/>
      <c r="AA68" s="120">
        <f t="shared" si="3"/>
        <v>0</v>
      </c>
      <c r="AB68" s="122"/>
      <c r="AC68" s="122"/>
      <c r="AD68" s="122"/>
    </row>
    <row r="69">
      <c r="A69" s="153"/>
      <c r="B69" s="125"/>
      <c r="C69" s="143"/>
      <c r="D69" s="143"/>
      <c r="E69" s="122"/>
      <c r="F69" s="122"/>
      <c r="G69" s="122"/>
      <c r="H69" s="122"/>
      <c r="I69" s="122"/>
      <c r="J69" s="122"/>
      <c r="K69" s="122"/>
      <c r="L69" s="122"/>
      <c r="M69" s="124"/>
      <c r="N69" s="122"/>
      <c r="O69" s="122"/>
      <c r="P69" s="122"/>
      <c r="Q69" s="122"/>
      <c r="R69" s="122"/>
      <c r="S69" s="122"/>
      <c r="T69" s="122"/>
      <c r="U69" s="122"/>
      <c r="V69" s="124"/>
      <c r="W69" s="122"/>
      <c r="X69" s="122"/>
      <c r="Y69" s="122"/>
      <c r="Z69" s="124"/>
      <c r="AA69" s="120">
        <f t="shared" si="3"/>
        <v>0</v>
      </c>
      <c r="AB69" s="122"/>
      <c r="AC69" s="122"/>
      <c r="AD69" s="122"/>
    </row>
    <row r="70">
      <c r="A70" s="153"/>
      <c r="B70" s="125"/>
      <c r="C70" s="143"/>
      <c r="D70" s="143"/>
      <c r="E70" s="122"/>
      <c r="F70" s="122"/>
      <c r="G70" s="122"/>
      <c r="H70" s="122"/>
      <c r="I70" s="122"/>
      <c r="J70" s="122"/>
      <c r="K70" s="122"/>
      <c r="L70" s="122"/>
      <c r="M70" s="124"/>
      <c r="N70" s="122"/>
      <c r="O70" s="122"/>
      <c r="P70" s="122"/>
      <c r="Q70" s="122"/>
      <c r="R70" s="122"/>
      <c r="S70" s="122"/>
      <c r="T70" s="122"/>
      <c r="U70" s="122"/>
      <c r="V70" s="124"/>
      <c r="W70" s="122"/>
      <c r="X70" s="122"/>
      <c r="Y70" s="122"/>
      <c r="Z70" s="124"/>
      <c r="AA70" s="120">
        <f t="shared" si="3"/>
        <v>0</v>
      </c>
      <c r="AB70" s="122"/>
      <c r="AC70" s="122"/>
      <c r="AD70" s="122"/>
    </row>
    <row r="71">
      <c r="A71" s="153"/>
      <c r="B71" s="125"/>
      <c r="C71" s="143"/>
      <c r="D71" s="143"/>
      <c r="E71" s="122"/>
      <c r="F71" s="122"/>
      <c r="G71" s="122"/>
      <c r="H71" s="122"/>
      <c r="I71" s="122"/>
      <c r="J71" s="122"/>
      <c r="K71" s="122"/>
      <c r="L71" s="122"/>
      <c r="M71" s="124"/>
      <c r="N71" s="122"/>
      <c r="O71" s="122"/>
      <c r="P71" s="122"/>
      <c r="Q71" s="122"/>
      <c r="R71" s="122"/>
      <c r="S71" s="122"/>
      <c r="T71" s="122"/>
      <c r="U71" s="122"/>
      <c r="V71" s="124"/>
      <c r="W71" s="122"/>
      <c r="X71" s="122"/>
      <c r="Y71" s="122"/>
      <c r="Z71" s="124"/>
      <c r="AA71" s="120">
        <f t="shared" si="3"/>
        <v>0</v>
      </c>
      <c r="AB71" s="122"/>
      <c r="AC71" s="122"/>
      <c r="AD71" s="122"/>
    </row>
    <row r="72">
      <c r="A72" s="153"/>
      <c r="B72" s="125"/>
      <c r="C72" s="143"/>
      <c r="D72" s="143"/>
      <c r="E72" s="122"/>
      <c r="F72" s="122"/>
      <c r="G72" s="122"/>
      <c r="H72" s="122"/>
      <c r="I72" s="122"/>
      <c r="J72" s="122"/>
      <c r="K72" s="122"/>
      <c r="L72" s="122"/>
      <c r="M72" s="124"/>
      <c r="N72" s="122"/>
      <c r="O72" s="122"/>
      <c r="P72" s="122"/>
      <c r="Q72" s="122"/>
      <c r="R72" s="122"/>
      <c r="S72" s="122"/>
      <c r="T72" s="122"/>
      <c r="U72" s="122"/>
      <c r="V72" s="124"/>
      <c r="W72" s="122"/>
      <c r="X72" s="122"/>
      <c r="Y72" s="122"/>
      <c r="Z72" s="124"/>
      <c r="AA72" s="120">
        <f t="shared" si="3"/>
        <v>0</v>
      </c>
      <c r="AB72" s="122"/>
      <c r="AC72" s="122"/>
      <c r="AD72" s="122"/>
    </row>
    <row r="73">
      <c r="A73" s="153"/>
      <c r="B73" s="125"/>
      <c r="C73" s="143"/>
      <c r="D73" s="143"/>
      <c r="E73" s="122"/>
      <c r="F73" s="122"/>
      <c r="G73" s="122"/>
      <c r="H73" s="122"/>
      <c r="I73" s="122"/>
      <c r="J73" s="122"/>
      <c r="K73" s="122"/>
      <c r="L73" s="122"/>
      <c r="M73" s="124"/>
      <c r="N73" s="122"/>
      <c r="O73" s="122"/>
      <c r="P73" s="122"/>
      <c r="Q73" s="122"/>
      <c r="R73" s="122"/>
      <c r="S73" s="122"/>
      <c r="T73" s="122"/>
      <c r="U73" s="122"/>
      <c r="V73" s="124"/>
      <c r="W73" s="122"/>
      <c r="X73" s="122"/>
      <c r="Y73" s="122"/>
      <c r="Z73" s="124"/>
      <c r="AA73" s="120">
        <f t="shared" si="3"/>
        <v>0</v>
      </c>
      <c r="AB73" s="122"/>
      <c r="AC73" s="122"/>
      <c r="AD73" s="122"/>
    </row>
    <row r="74">
      <c r="A74" s="153"/>
      <c r="B74" s="125"/>
      <c r="C74" s="143"/>
      <c r="D74" s="143"/>
      <c r="E74" s="122"/>
      <c r="F74" s="122"/>
      <c r="G74" s="122"/>
      <c r="H74" s="122"/>
      <c r="I74" s="122"/>
      <c r="J74" s="122"/>
      <c r="K74" s="122"/>
      <c r="L74" s="122"/>
      <c r="M74" s="124"/>
      <c r="N74" s="122"/>
      <c r="O74" s="122"/>
      <c r="P74" s="122"/>
      <c r="Q74" s="122"/>
      <c r="R74" s="122"/>
      <c r="S74" s="122"/>
      <c r="T74" s="122"/>
      <c r="U74" s="122"/>
      <c r="V74" s="124"/>
      <c r="W74" s="122"/>
      <c r="X74" s="122"/>
      <c r="Y74" s="122"/>
      <c r="Z74" s="124"/>
      <c r="AA74" s="120">
        <f t="shared" si="3"/>
        <v>0</v>
      </c>
      <c r="AB74" s="122"/>
      <c r="AC74" s="122"/>
      <c r="AD74" s="122"/>
    </row>
    <row r="75">
      <c r="A75" s="153"/>
      <c r="B75" s="125"/>
      <c r="C75" s="143"/>
      <c r="D75" s="143"/>
      <c r="E75" s="122"/>
      <c r="F75" s="122"/>
      <c r="G75" s="122"/>
      <c r="H75" s="122"/>
      <c r="I75" s="122"/>
      <c r="J75" s="122"/>
      <c r="K75" s="122"/>
      <c r="L75" s="122"/>
      <c r="M75" s="124"/>
      <c r="N75" s="122"/>
      <c r="O75" s="122"/>
      <c r="P75" s="122"/>
      <c r="Q75" s="122"/>
      <c r="R75" s="122"/>
      <c r="S75" s="122"/>
      <c r="T75" s="122"/>
      <c r="U75" s="122"/>
      <c r="V75" s="124"/>
      <c r="W75" s="122"/>
      <c r="X75" s="122"/>
      <c r="Y75" s="122"/>
      <c r="Z75" s="124"/>
      <c r="AA75" s="120">
        <f t="shared" si="3"/>
        <v>0</v>
      </c>
      <c r="AB75" s="122"/>
      <c r="AC75" s="122"/>
      <c r="AD75" s="122"/>
    </row>
    <row r="76">
      <c r="A76" s="153"/>
      <c r="B76" s="125"/>
      <c r="C76" s="143"/>
      <c r="D76" s="143"/>
      <c r="E76" s="122"/>
      <c r="F76" s="122"/>
      <c r="G76" s="122"/>
      <c r="H76" s="122"/>
      <c r="I76" s="122"/>
      <c r="J76" s="122"/>
      <c r="K76" s="122"/>
      <c r="L76" s="122"/>
      <c r="M76" s="124"/>
      <c r="N76" s="122"/>
      <c r="O76" s="122"/>
      <c r="P76" s="122"/>
      <c r="Q76" s="122"/>
      <c r="R76" s="122"/>
      <c r="S76" s="122"/>
      <c r="T76" s="122"/>
      <c r="U76" s="122"/>
      <c r="V76" s="124"/>
      <c r="W76" s="122"/>
      <c r="X76" s="122"/>
      <c r="Y76" s="122"/>
      <c r="Z76" s="124"/>
      <c r="AA76" s="120">
        <f t="shared" si="3"/>
        <v>0</v>
      </c>
      <c r="AB76" s="122"/>
      <c r="AC76" s="122"/>
      <c r="AD76" s="122"/>
    </row>
    <row r="77">
      <c r="A77" s="153"/>
      <c r="B77" s="125"/>
      <c r="C77" s="143"/>
      <c r="D77" s="143"/>
      <c r="E77" s="122"/>
      <c r="F77" s="122"/>
      <c r="G77" s="122"/>
      <c r="H77" s="122"/>
      <c r="I77" s="122"/>
      <c r="J77" s="122"/>
      <c r="K77" s="122"/>
      <c r="L77" s="122"/>
      <c r="M77" s="124"/>
      <c r="N77" s="122"/>
      <c r="O77" s="122"/>
      <c r="P77" s="122"/>
      <c r="Q77" s="122"/>
      <c r="R77" s="122"/>
      <c r="S77" s="122"/>
      <c r="T77" s="122"/>
      <c r="U77" s="122"/>
      <c r="V77" s="124"/>
      <c r="W77" s="122"/>
      <c r="X77" s="122"/>
      <c r="Y77" s="122"/>
      <c r="Z77" s="124"/>
      <c r="AA77" s="124"/>
      <c r="AB77" s="122"/>
      <c r="AC77" s="122"/>
      <c r="AD77" s="122"/>
    </row>
    <row r="78">
      <c r="A78" s="154"/>
      <c r="B78" s="126"/>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c r="AC78" s="122"/>
      <c r="AD78" s="122"/>
    </row>
    <row r="79">
      <c r="A79" s="154"/>
      <c r="B79" s="126"/>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row>
    <row r="80">
      <c r="A80" s="154"/>
      <c r="B80" s="126"/>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c r="AD80" s="122"/>
    </row>
    <row r="81">
      <c r="A81" s="154"/>
      <c r="B81" s="126"/>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2"/>
      <c r="AC81" s="122"/>
      <c r="AD81" s="122"/>
    </row>
    <row r="82">
      <c r="A82" s="154"/>
      <c r="B82" s="126"/>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c r="AC82" s="122"/>
      <c r="AD82" s="122"/>
    </row>
    <row r="83">
      <c r="A83" s="154"/>
      <c r="B83" s="126"/>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row>
    <row r="84">
      <c r="A84" s="154"/>
      <c r="B84" s="126"/>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row>
    <row r="85">
      <c r="A85" s="154"/>
      <c r="B85" s="126"/>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row>
    <row r="86">
      <c r="A86" s="154"/>
      <c r="B86" s="126"/>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row>
    <row r="87">
      <c r="A87" s="154"/>
      <c r="B87" s="126"/>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row>
    <row r="88">
      <c r="A88" s="154"/>
      <c r="B88" s="126"/>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row>
    <row r="89">
      <c r="A89" s="154"/>
      <c r="B89" s="126"/>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row>
    <row r="90">
      <c r="A90" s="154"/>
      <c r="B90" s="126"/>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row>
    <row r="91">
      <c r="A91" s="154"/>
      <c r="B91" s="126"/>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row>
    <row r="92">
      <c r="A92" s="154"/>
      <c r="B92" s="126"/>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row>
    <row r="93">
      <c r="A93" s="154"/>
      <c r="B93" s="126"/>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row>
    <row r="94">
      <c r="A94" s="154"/>
      <c r="B94" s="126"/>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row>
    <row r="95">
      <c r="A95" s="154"/>
      <c r="B95" s="126"/>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row>
    <row r="96">
      <c r="A96" s="154"/>
      <c r="B96" s="126"/>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row>
    <row r="97">
      <c r="A97" s="154"/>
      <c r="B97" s="126"/>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c r="AD97" s="122"/>
    </row>
    <row r="98">
      <c r="A98" s="154"/>
      <c r="B98" s="126"/>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row>
    <row r="99">
      <c r="A99" s="154"/>
      <c r="B99" s="126"/>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row>
    <row r="100">
      <c r="A100" s="154"/>
      <c r="B100" s="126"/>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row>
    <row r="101">
      <c r="A101" s="154"/>
      <c r="B101" s="126"/>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2"/>
    </row>
    <row r="102">
      <c r="A102" s="154"/>
      <c r="B102" s="126"/>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c r="AD102" s="122"/>
    </row>
    <row r="103">
      <c r="A103" s="154"/>
      <c r="B103" s="126"/>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row>
    <row r="104">
      <c r="A104" s="154"/>
      <c r="B104" s="126"/>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row>
    <row r="105">
      <c r="A105" s="154"/>
      <c r="B105" s="126"/>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row>
    <row r="106">
      <c r="A106" s="154"/>
      <c r="B106" s="126"/>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c r="AD106" s="122"/>
    </row>
    <row r="107">
      <c r="A107" s="154"/>
      <c r="B107" s="126"/>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2"/>
    </row>
    <row r="108">
      <c r="A108" s="154"/>
      <c r="B108" s="126"/>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row>
    <row r="109">
      <c r="A109" s="154"/>
      <c r="B109" s="126"/>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c r="AD109" s="122"/>
    </row>
    <row r="110">
      <c r="A110" s="154"/>
      <c r="B110" s="126"/>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row>
    <row r="111">
      <c r="A111" s="154"/>
      <c r="B111" s="126"/>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c r="AD111" s="122"/>
    </row>
    <row r="112">
      <c r="A112" s="154"/>
      <c r="B112" s="126"/>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c r="AD112" s="122"/>
    </row>
    <row r="113">
      <c r="A113" s="154"/>
      <c r="B113" s="126"/>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row>
    <row r="114">
      <c r="A114" s="154"/>
      <c r="B114" s="126"/>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row>
    <row r="115">
      <c r="A115" s="154"/>
      <c r="B115" s="126"/>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row>
    <row r="116">
      <c r="A116" s="154"/>
      <c r="B116" s="126"/>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c r="AD116" s="122"/>
    </row>
    <row r="117">
      <c r="A117" s="154"/>
      <c r="B117" s="126"/>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2"/>
    </row>
    <row r="118">
      <c r="A118" s="154"/>
      <c r="B118" s="126"/>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c r="AD118" s="122"/>
    </row>
    <row r="119">
      <c r="A119" s="154"/>
      <c r="B119" s="126"/>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c r="AD119" s="122"/>
    </row>
    <row r="120">
      <c r="A120" s="154"/>
      <c r="B120" s="126"/>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row>
    <row r="121">
      <c r="A121" s="154"/>
      <c r="B121" s="126"/>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c r="AD121" s="122"/>
    </row>
    <row r="122">
      <c r="A122" s="154"/>
      <c r="B122" s="126"/>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c r="AD122" s="122"/>
    </row>
    <row r="123">
      <c r="A123" s="154"/>
      <c r="B123" s="126"/>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c r="AD123" s="122"/>
    </row>
    <row r="124">
      <c r="A124" s="154"/>
      <c r="B124" s="126"/>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row>
    <row r="125">
      <c r="A125" s="154"/>
      <c r="B125" s="126"/>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row>
    <row r="126">
      <c r="A126" s="154"/>
      <c r="B126" s="126"/>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c r="AD126" s="122"/>
    </row>
    <row r="127">
      <c r="A127" s="154"/>
      <c r="B127" s="126"/>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c r="AD127" s="122"/>
    </row>
    <row r="128">
      <c r="A128" s="154"/>
      <c r="B128" s="126"/>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c r="AD128" s="122"/>
    </row>
    <row r="129">
      <c r="A129" s="154"/>
      <c r="B129" s="126"/>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row>
    <row r="130">
      <c r="A130" s="154"/>
      <c r="B130" s="126"/>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row>
    <row r="131">
      <c r="A131" s="154"/>
      <c r="B131" s="126"/>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row>
    <row r="132">
      <c r="A132" s="154"/>
      <c r="B132" s="126"/>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c r="AD132" s="122"/>
    </row>
    <row r="133">
      <c r="A133" s="154"/>
      <c r="B133" s="126"/>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c r="AD133" s="122"/>
    </row>
    <row r="134">
      <c r="A134" s="154"/>
      <c r="B134" s="126"/>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c r="AD134" s="122"/>
    </row>
    <row r="135">
      <c r="A135" s="154"/>
      <c r="B135" s="126"/>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c r="AD135" s="122"/>
    </row>
    <row r="136">
      <c r="A136" s="154"/>
      <c r="B136" s="126"/>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2"/>
    </row>
    <row r="137">
      <c r="A137" s="154"/>
      <c r="B137" s="126"/>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c r="AD137" s="122"/>
    </row>
    <row r="138">
      <c r="A138" s="154"/>
      <c r="B138" s="126"/>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2"/>
    </row>
    <row r="139">
      <c r="A139" s="154"/>
      <c r="B139" s="126"/>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row>
    <row r="140">
      <c r="A140" s="154"/>
      <c r="B140" s="126"/>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2"/>
    </row>
    <row r="141">
      <c r="A141" s="154"/>
      <c r="B141" s="126"/>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row>
    <row r="142">
      <c r="A142" s="154"/>
      <c r="B142" s="126"/>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2"/>
    </row>
    <row r="143">
      <c r="A143" s="154"/>
      <c r="B143" s="126"/>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2"/>
    </row>
    <row r="144">
      <c r="A144" s="154"/>
      <c r="B144" s="126"/>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2"/>
    </row>
    <row r="145">
      <c r="A145" s="154"/>
      <c r="B145" s="126"/>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2"/>
    </row>
    <row r="146">
      <c r="A146" s="154"/>
      <c r="B146" s="126"/>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row>
    <row r="147">
      <c r="A147" s="154"/>
      <c r="B147" s="126"/>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row>
    <row r="148">
      <c r="A148" s="154"/>
      <c r="B148" s="126"/>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2"/>
    </row>
    <row r="149">
      <c r="A149" s="154"/>
      <c r="B149" s="126"/>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2"/>
    </row>
    <row r="150">
      <c r="A150" s="154"/>
      <c r="B150" s="126"/>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row>
    <row r="151">
      <c r="A151" s="154"/>
      <c r="B151" s="126"/>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row>
    <row r="152">
      <c r="A152" s="154"/>
      <c r="B152" s="126"/>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row>
    <row r="153">
      <c r="A153" s="154"/>
      <c r="B153" s="126"/>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c r="AD153" s="122"/>
    </row>
    <row r="154">
      <c r="A154" s="154"/>
      <c r="B154" s="126"/>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2"/>
    </row>
    <row r="155">
      <c r="A155" s="154"/>
      <c r="B155" s="126"/>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c r="AD155" s="122"/>
    </row>
    <row r="156">
      <c r="A156" s="154"/>
      <c r="B156" s="126"/>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c r="AD156" s="122"/>
    </row>
    <row r="157">
      <c r="A157" s="154"/>
      <c r="B157" s="126"/>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c r="AD157" s="122"/>
    </row>
    <row r="158">
      <c r="A158" s="154"/>
      <c r="B158" s="126"/>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c r="AD158" s="122"/>
    </row>
    <row r="159">
      <c r="A159" s="154"/>
      <c r="B159" s="126"/>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c r="AD159" s="122"/>
    </row>
    <row r="160">
      <c r="A160" s="154"/>
      <c r="B160" s="126"/>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row>
    <row r="161">
      <c r="A161" s="154"/>
      <c r="B161" s="126"/>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row>
    <row r="162">
      <c r="A162" s="154"/>
      <c r="B162" s="126"/>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c r="AD162" s="122"/>
    </row>
    <row r="163">
      <c r="A163" s="154"/>
      <c r="B163" s="126"/>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c r="AD163" s="122"/>
    </row>
    <row r="164">
      <c r="A164" s="154"/>
      <c r="B164" s="126"/>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c r="AD164" s="122"/>
    </row>
    <row r="165">
      <c r="A165" s="154"/>
      <c r="B165" s="126"/>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c r="AD165" s="122"/>
    </row>
    <row r="166">
      <c r="A166" s="154"/>
      <c r="B166" s="126"/>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2"/>
    </row>
    <row r="167">
      <c r="A167" s="154"/>
      <c r="B167" s="126"/>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c r="AD167" s="122"/>
    </row>
    <row r="168">
      <c r="A168" s="154"/>
      <c r="B168" s="126"/>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c r="AD168" s="122"/>
    </row>
    <row r="169">
      <c r="A169" s="154"/>
      <c r="B169" s="126"/>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c r="AD169" s="122"/>
    </row>
    <row r="170">
      <c r="A170" s="154"/>
      <c r="B170" s="126"/>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c r="AD170" s="122"/>
    </row>
    <row r="171">
      <c r="A171" s="154"/>
      <c r="B171" s="126"/>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c r="AD171" s="122"/>
    </row>
    <row r="172">
      <c r="A172" s="154"/>
      <c r="B172" s="126"/>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c r="AD172" s="122"/>
    </row>
    <row r="173">
      <c r="A173" s="154"/>
      <c r="B173" s="126"/>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c r="AD173" s="122"/>
    </row>
    <row r="174">
      <c r="A174" s="154"/>
      <c r="B174" s="126"/>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c r="AD174" s="122"/>
    </row>
    <row r="175">
      <c r="A175" s="154"/>
      <c r="B175" s="126"/>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c r="AD175" s="122"/>
    </row>
    <row r="176">
      <c r="A176" s="154"/>
      <c r="B176" s="126"/>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c r="AD176" s="122"/>
    </row>
    <row r="177">
      <c r="A177" s="154"/>
      <c r="B177" s="126"/>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row>
    <row r="178">
      <c r="A178" s="154"/>
      <c r="B178" s="126"/>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c r="AD178" s="122"/>
    </row>
    <row r="179">
      <c r="A179" s="154"/>
      <c r="B179" s="126"/>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row>
    <row r="180">
      <c r="A180" s="154"/>
      <c r="B180" s="126"/>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row>
    <row r="181">
      <c r="A181" s="154"/>
      <c r="B181" s="126"/>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row>
    <row r="182">
      <c r="A182" s="154"/>
      <c r="B182" s="126"/>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row>
    <row r="183">
      <c r="A183" s="154"/>
      <c r="B183" s="126"/>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row>
    <row r="184">
      <c r="A184" s="154"/>
      <c r="B184" s="126"/>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row>
    <row r="185">
      <c r="A185" s="154"/>
      <c r="B185" s="126"/>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row>
    <row r="186">
      <c r="A186" s="154"/>
      <c r="B186" s="126"/>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row>
    <row r="187">
      <c r="A187" s="154"/>
      <c r="B187" s="126"/>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c r="AD187" s="122"/>
    </row>
    <row r="188">
      <c r="A188" s="154"/>
      <c r="B188" s="126"/>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c r="AD188" s="122"/>
    </row>
    <row r="189">
      <c r="A189" s="154"/>
      <c r="B189" s="126"/>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c r="AD189" s="122"/>
    </row>
    <row r="190">
      <c r="A190" s="154"/>
      <c r="B190" s="126"/>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c r="AD190" s="122"/>
    </row>
    <row r="191">
      <c r="A191" s="154"/>
      <c r="B191" s="126"/>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row>
    <row r="192">
      <c r="A192" s="154"/>
      <c r="B192" s="126"/>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c r="AD192" s="122"/>
    </row>
    <row r="193">
      <c r="A193" s="154"/>
      <c r="B193" s="126"/>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c r="AD193" s="122"/>
    </row>
    <row r="194">
      <c r="A194" s="154"/>
      <c r="B194" s="126"/>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c r="AD194" s="122"/>
    </row>
    <row r="195">
      <c r="A195" s="154"/>
      <c r="B195" s="126"/>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row>
    <row r="196">
      <c r="A196" s="154"/>
      <c r="B196" s="126"/>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row>
    <row r="197">
      <c r="A197" s="154"/>
      <c r="B197" s="126"/>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row>
    <row r="198">
      <c r="A198" s="154"/>
      <c r="B198" s="126"/>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c r="AD198" s="122"/>
    </row>
    <row r="199">
      <c r="A199" s="154"/>
      <c r="B199" s="126"/>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c r="AD199" s="122"/>
    </row>
    <row r="200">
      <c r="A200" s="154"/>
      <c r="B200" s="126"/>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c r="AD200" s="122"/>
    </row>
    <row r="201">
      <c r="A201" s="154"/>
      <c r="B201" s="126"/>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c r="AD201" s="122"/>
    </row>
    <row r="202">
      <c r="A202" s="154"/>
      <c r="B202" s="126"/>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c r="AD202" s="122"/>
    </row>
    <row r="203">
      <c r="A203" s="154"/>
      <c r="B203" s="126"/>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c r="AD203" s="122"/>
    </row>
    <row r="204">
      <c r="A204" s="154"/>
      <c r="B204" s="126"/>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row>
    <row r="205">
      <c r="A205" s="154"/>
      <c r="B205" s="126"/>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c r="AD205" s="122"/>
    </row>
    <row r="206">
      <c r="A206" s="154"/>
      <c r="B206" s="126"/>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c r="AD206" s="122"/>
    </row>
    <row r="207">
      <c r="A207" s="154"/>
      <c r="B207" s="126"/>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c r="AD207" s="122"/>
    </row>
    <row r="208">
      <c r="A208" s="154"/>
      <c r="B208" s="126"/>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c r="AD208" s="122"/>
    </row>
    <row r="209">
      <c r="A209" s="154"/>
      <c r="B209" s="126"/>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row>
    <row r="210">
      <c r="A210" s="154"/>
      <c r="B210" s="126"/>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row>
    <row r="211">
      <c r="A211" s="154"/>
      <c r="B211" s="126"/>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c r="AD211" s="122"/>
    </row>
    <row r="212">
      <c r="A212" s="154"/>
      <c r="B212" s="126"/>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row>
    <row r="213">
      <c r="A213" s="154"/>
      <c r="B213" s="126"/>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c r="AD213" s="122"/>
    </row>
    <row r="214">
      <c r="A214" s="154"/>
      <c r="B214" s="126"/>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row>
    <row r="215">
      <c r="A215" s="154"/>
      <c r="B215" s="126"/>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row>
    <row r="216">
      <c r="A216" s="154"/>
      <c r="B216" s="126"/>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row>
    <row r="217">
      <c r="A217" s="154"/>
      <c r="B217" s="126"/>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2"/>
    </row>
    <row r="218">
      <c r="A218" s="154"/>
      <c r="B218" s="126"/>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c r="AD218" s="122"/>
    </row>
    <row r="219">
      <c r="A219" s="154"/>
      <c r="B219" s="126"/>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c r="AD219" s="122"/>
    </row>
    <row r="220">
      <c r="A220" s="154"/>
      <c r="B220" s="126"/>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c r="AD220" s="122"/>
    </row>
    <row r="221">
      <c r="A221" s="154"/>
      <c r="B221" s="126"/>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c r="AD221" s="122"/>
    </row>
    <row r="222">
      <c r="A222" s="154"/>
      <c r="B222" s="126"/>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row>
    <row r="223">
      <c r="A223" s="154"/>
      <c r="B223" s="126"/>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c r="AD223" s="122"/>
    </row>
    <row r="224">
      <c r="A224" s="154"/>
      <c r="B224" s="126"/>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c r="AD224" s="122"/>
    </row>
    <row r="225">
      <c r="A225" s="154"/>
      <c r="B225" s="126"/>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c r="AD225" s="122"/>
    </row>
    <row r="226">
      <c r="A226" s="154"/>
      <c r="B226" s="126"/>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c r="AD226" s="122"/>
    </row>
    <row r="227">
      <c r="A227" s="154"/>
      <c r="B227" s="126"/>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2"/>
    </row>
    <row r="228">
      <c r="A228" s="154"/>
      <c r="B228" s="126"/>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row>
    <row r="229">
      <c r="A229" s="154"/>
      <c r="B229" s="126"/>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c r="AD229" s="122"/>
    </row>
    <row r="230">
      <c r="A230" s="154"/>
      <c r="B230" s="126"/>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c r="AD230" s="122"/>
    </row>
    <row r="231">
      <c r="A231" s="154"/>
      <c r="B231" s="126"/>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c r="AD231" s="122"/>
    </row>
    <row r="232">
      <c r="A232" s="154"/>
      <c r="B232" s="126"/>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c r="AD232" s="122"/>
    </row>
    <row r="233">
      <c r="A233" s="154"/>
      <c r="B233" s="126"/>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c r="AD233" s="122"/>
    </row>
    <row r="234">
      <c r="A234" s="154"/>
      <c r="B234" s="126"/>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c r="AD234" s="122"/>
    </row>
    <row r="235">
      <c r="A235" s="154"/>
      <c r="B235" s="126"/>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c r="AD235" s="122"/>
    </row>
    <row r="236">
      <c r="A236" s="154"/>
      <c r="B236" s="126"/>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c r="AD236" s="122"/>
    </row>
    <row r="237">
      <c r="A237" s="154"/>
      <c r="B237" s="126"/>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c r="AD237" s="122"/>
    </row>
    <row r="238">
      <c r="A238" s="154"/>
      <c r="B238" s="126"/>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c r="AD238" s="122"/>
    </row>
    <row r="239">
      <c r="A239" s="154"/>
      <c r="B239" s="126"/>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c r="AD239" s="122"/>
    </row>
    <row r="240">
      <c r="A240" s="154"/>
      <c r="B240" s="126"/>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c r="AD240" s="122"/>
    </row>
    <row r="241">
      <c r="A241" s="154"/>
      <c r="B241" s="126"/>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c r="AD241" s="122"/>
    </row>
    <row r="242">
      <c r="A242" s="154"/>
      <c r="B242" s="126"/>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c r="AD242" s="122"/>
    </row>
    <row r="243">
      <c r="A243" s="154"/>
      <c r="B243" s="126"/>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c r="AD243" s="122"/>
    </row>
    <row r="244">
      <c r="A244" s="154"/>
      <c r="B244" s="126"/>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c r="AD244" s="122"/>
    </row>
    <row r="245">
      <c r="A245" s="154"/>
      <c r="B245" s="126"/>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c r="AD245" s="122"/>
    </row>
    <row r="246">
      <c r="A246" s="154"/>
      <c r="B246" s="126"/>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c r="AD246" s="122"/>
    </row>
    <row r="247">
      <c r="A247" s="154"/>
      <c r="B247" s="126"/>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c r="AD247" s="122"/>
    </row>
    <row r="248">
      <c r="A248" s="154"/>
      <c r="B248" s="126"/>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c r="AD248" s="122"/>
    </row>
    <row r="249">
      <c r="A249" s="154"/>
      <c r="B249" s="126"/>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c r="AD249" s="122"/>
    </row>
    <row r="250">
      <c r="A250" s="154"/>
      <c r="B250" s="126"/>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c r="AD250" s="122"/>
    </row>
    <row r="251">
      <c r="A251" s="154"/>
      <c r="B251" s="126"/>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c r="AD251" s="122"/>
    </row>
    <row r="252">
      <c r="A252" s="154"/>
      <c r="B252" s="126"/>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c r="AD252" s="122"/>
    </row>
    <row r="253">
      <c r="A253" s="154"/>
      <c r="B253" s="126"/>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c r="AD253" s="122"/>
    </row>
    <row r="254">
      <c r="A254" s="154"/>
      <c r="B254" s="126"/>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c r="AD254" s="122"/>
    </row>
    <row r="255">
      <c r="A255" s="154"/>
      <c r="B255" s="126"/>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c r="AD255" s="122"/>
    </row>
    <row r="256">
      <c r="A256" s="154"/>
      <c r="B256" s="126"/>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c r="AD256" s="122"/>
    </row>
    <row r="257">
      <c r="A257" s="154"/>
      <c r="B257" s="126"/>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c r="AD257" s="122"/>
    </row>
    <row r="258">
      <c r="A258" s="154"/>
      <c r="B258" s="126"/>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c r="AD258" s="122"/>
    </row>
    <row r="259">
      <c r="A259" s="154"/>
      <c r="B259" s="126"/>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c r="AD259" s="122"/>
    </row>
    <row r="260">
      <c r="A260" s="154"/>
      <c r="B260" s="126"/>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c r="AD260" s="122"/>
    </row>
    <row r="261">
      <c r="A261" s="154"/>
      <c r="B261" s="126"/>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c r="AD261" s="122"/>
    </row>
    <row r="262">
      <c r="A262" s="154"/>
      <c r="B262" s="126"/>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c r="AD262" s="122"/>
    </row>
    <row r="263">
      <c r="A263" s="154"/>
      <c r="B263" s="126"/>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c r="AD263" s="122"/>
    </row>
    <row r="264">
      <c r="A264" s="154"/>
      <c r="B264" s="126"/>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c r="AD264" s="122"/>
    </row>
    <row r="265">
      <c r="A265" s="154"/>
      <c r="B265" s="126"/>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c r="AD265" s="122"/>
    </row>
    <row r="266">
      <c r="A266" s="154"/>
      <c r="B266" s="126"/>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c r="AD266" s="122"/>
    </row>
    <row r="267">
      <c r="A267" s="154"/>
      <c r="B267" s="126"/>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2"/>
    </row>
    <row r="268">
      <c r="A268" s="154"/>
      <c r="B268" s="126"/>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c r="AD268" s="122"/>
    </row>
    <row r="269">
      <c r="A269" s="154"/>
      <c r="B269" s="126"/>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c r="AD269" s="122"/>
    </row>
    <row r="270">
      <c r="A270" s="154"/>
      <c r="B270" s="126"/>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c r="AD270" s="122"/>
    </row>
    <row r="271">
      <c r="A271" s="154"/>
      <c r="B271" s="126"/>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c r="AD271" s="122"/>
    </row>
    <row r="272">
      <c r="A272" s="154"/>
      <c r="B272" s="126"/>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c r="AD272" s="122"/>
    </row>
    <row r="273">
      <c r="A273" s="154"/>
      <c r="B273" s="126"/>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c r="AD273" s="122"/>
    </row>
    <row r="274">
      <c r="A274" s="154"/>
      <c r="B274" s="126"/>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2"/>
    </row>
    <row r="275">
      <c r="A275" s="154"/>
      <c r="B275" s="126"/>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c r="AD275" s="122"/>
    </row>
    <row r="276">
      <c r="A276" s="154"/>
      <c r="B276" s="126"/>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c r="AD276" s="122"/>
    </row>
    <row r="277">
      <c r="A277" s="154"/>
      <c r="B277" s="126"/>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c r="AD277" s="122"/>
    </row>
    <row r="278">
      <c r="A278" s="154"/>
      <c r="B278" s="126"/>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c r="AD278" s="122"/>
    </row>
    <row r="279">
      <c r="A279" s="154"/>
      <c r="B279" s="126"/>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c r="AD279" s="122"/>
    </row>
    <row r="280">
      <c r="A280" s="154"/>
      <c r="B280" s="126"/>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c r="AD280" s="122"/>
    </row>
    <row r="281">
      <c r="A281" s="154"/>
      <c r="B281" s="126"/>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c r="AD281" s="122"/>
    </row>
    <row r="282">
      <c r="A282" s="154"/>
      <c r="B282" s="126"/>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c r="AD282" s="122"/>
    </row>
    <row r="283">
      <c r="A283" s="154"/>
      <c r="B283" s="126"/>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c r="AD283" s="122"/>
    </row>
    <row r="284">
      <c r="A284" s="154"/>
      <c r="B284" s="126"/>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c r="AD284" s="122"/>
    </row>
    <row r="285">
      <c r="A285" s="154"/>
      <c r="B285" s="126"/>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c r="AD285" s="122"/>
    </row>
    <row r="286">
      <c r="A286" s="154"/>
      <c r="B286" s="126"/>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c r="AD286" s="122"/>
    </row>
    <row r="287">
      <c r="A287" s="154"/>
      <c r="B287" s="126"/>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c r="AD287" s="122"/>
    </row>
    <row r="288">
      <c r="A288" s="154"/>
      <c r="B288" s="126"/>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2"/>
    </row>
    <row r="289">
      <c r="A289" s="154"/>
      <c r="B289" s="126"/>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c r="AD289" s="122"/>
    </row>
    <row r="290">
      <c r="A290" s="154"/>
      <c r="B290" s="126"/>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c r="AD290" s="122"/>
    </row>
    <row r="291">
      <c r="A291" s="154"/>
      <c r="B291" s="126"/>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c r="AD291" s="122"/>
    </row>
    <row r="292">
      <c r="A292" s="154"/>
      <c r="B292" s="126"/>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2"/>
    </row>
    <row r="293">
      <c r="A293" s="154"/>
      <c r="B293" s="126"/>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row>
    <row r="294">
      <c r="A294" s="154"/>
      <c r="B294" s="126"/>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2"/>
    </row>
    <row r="295">
      <c r="A295" s="154"/>
      <c r="B295" s="126"/>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c r="AD295" s="122"/>
    </row>
    <row r="296">
      <c r="A296" s="154"/>
      <c r="B296" s="126"/>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c r="AD296" s="122"/>
    </row>
    <row r="297">
      <c r="A297" s="154"/>
      <c r="B297" s="126"/>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c r="AD297" s="122"/>
    </row>
    <row r="298">
      <c r="A298" s="154"/>
      <c r="B298" s="126"/>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c r="AD298" s="122"/>
    </row>
    <row r="299">
      <c r="A299" s="154"/>
      <c r="B299" s="126"/>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c r="AD299" s="122"/>
    </row>
    <row r="300">
      <c r="A300" s="154"/>
      <c r="B300" s="126"/>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c r="AD300" s="122"/>
    </row>
    <row r="301">
      <c r="A301" s="154"/>
      <c r="B301" s="126"/>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c r="AD301" s="122"/>
    </row>
    <row r="302">
      <c r="A302" s="154"/>
      <c r="B302" s="126"/>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c r="AD302" s="122"/>
    </row>
    <row r="303">
      <c r="A303" s="154"/>
      <c r="B303" s="126"/>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c r="AD303" s="122"/>
    </row>
    <row r="304">
      <c r="A304" s="154"/>
      <c r="B304" s="126"/>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c r="AD304" s="122"/>
    </row>
    <row r="305">
      <c r="A305" s="154"/>
      <c r="B305" s="126"/>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c r="AD305" s="122"/>
    </row>
    <row r="306">
      <c r="A306" s="154"/>
      <c r="B306" s="126"/>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c r="AD306" s="122"/>
    </row>
    <row r="307">
      <c r="A307" s="154"/>
      <c r="B307" s="126"/>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c r="AD307" s="122"/>
    </row>
    <row r="308">
      <c r="A308" s="154"/>
      <c r="B308" s="126"/>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c r="AD308" s="122"/>
    </row>
    <row r="309">
      <c r="A309" s="154"/>
      <c r="B309" s="126"/>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c r="AD309" s="122"/>
    </row>
    <row r="310">
      <c r="A310" s="154"/>
      <c r="B310" s="126"/>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c r="AD310" s="122"/>
    </row>
    <row r="311">
      <c r="A311" s="154"/>
      <c r="B311" s="126"/>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c r="AD311" s="122"/>
    </row>
    <row r="312">
      <c r="A312" s="154"/>
      <c r="B312" s="126"/>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c r="AD312" s="122"/>
    </row>
    <row r="313">
      <c r="A313" s="154"/>
      <c r="B313" s="126"/>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c r="AD313" s="122"/>
    </row>
    <row r="314">
      <c r="A314" s="154"/>
      <c r="B314" s="126"/>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c r="AD314" s="122"/>
    </row>
    <row r="315">
      <c r="A315" s="154"/>
      <c r="B315" s="126"/>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c r="AD315" s="122"/>
    </row>
    <row r="316">
      <c r="A316" s="154"/>
      <c r="B316" s="126"/>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c r="AD316" s="122"/>
    </row>
    <row r="317">
      <c r="A317" s="154"/>
      <c r="B317" s="126"/>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c r="AD317" s="122"/>
    </row>
    <row r="318">
      <c r="A318" s="154"/>
      <c r="B318" s="126"/>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c r="AD318" s="122"/>
    </row>
    <row r="319">
      <c r="A319" s="154"/>
      <c r="B319" s="126"/>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c r="AD319" s="122"/>
    </row>
    <row r="320">
      <c r="A320" s="154"/>
      <c r="B320" s="126"/>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c r="AD320" s="122"/>
    </row>
    <row r="321">
      <c r="A321" s="154"/>
      <c r="B321" s="126"/>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c r="AD321" s="122"/>
    </row>
    <row r="322">
      <c r="A322" s="154"/>
      <c r="B322" s="126"/>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c r="AD322" s="122"/>
    </row>
    <row r="323">
      <c r="A323" s="154"/>
      <c r="B323" s="126"/>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c r="AD323" s="122"/>
    </row>
    <row r="324">
      <c r="A324" s="154"/>
      <c r="B324" s="126"/>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c r="AD324" s="122"/>
    </row>
    <row r="325">
      <c r="A325" s="154"/>
      <c r="B325" s="126"/>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c r="AD325" s="122"/>
    </row>
    <row r="326">
      <c r="A326" s="154"/>
      <c r="B326" s="126"/>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c r="AD326" s="122"/>
    </row>
    <row r="327">
      <c r="A327" s="154"/>
      <c r="B327" s="126"/>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c r="AD327" s="122"/>
    </row>
    <row r="328">
      <c r="A328" s="154"/>
      <c r="B328" s="126"/>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c r="AD328" s="122"/>
    </row>
    <row r="329">
      <c r="A329" s="154"/>
      <c r="B329" s="126"/>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c r="AD329" s="122"/>
    </row>
    <row r="330">
      <c r="A330" s="154"/>
      <c r="B330" s="126"/>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c r="AD330" s="122"/>
    </row>
    <row r="331">
      <c r="A331" s="154"/>
      <c r="B331" s="126"/>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c r="AD331" s="122"/>
    </row>
    <row r="332">
      <c r="A332" s="154"/>
      <c r="B332" s="126"/>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c r="AD332" s="122"/>
    </row>
    <row r="333">
      <c r="A333" s="154"/>
      <c r="B333" s="126"/>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c r="AD333" s="122"/>
    </row>
    <row r="334">
      <c r="A334" s="154"/>
      <c r="B334" s="126"/>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c r="AD334" s="122"/>
    </row>
    <row r="335">
      <c r="A335" s="154"/>
      <c r="B335" s="126"/>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c r="AD335" s="122"/>
    </row>
    <row r="336">
      <c r="A336" s="154"/>
      <c r="B336" s="126"/>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c r="AD336" s="122"/>
    </row>
    <row r="337">
      <c r="A337" s="154"/>
      <c r="B337" s="126"/>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c r="AD337" s="122"/>
    </row>
    <row r="338">
      <c r="A338" s="154"/>
      <c r="B338" s="126"/>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c r="AD338" s="122"/>
    </row>
    <row r="339">
      <c r="A339" s="154"/>
      <c r="B339" s="126"/>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c r="AD339" s="122"/>
    </row>
    <row r="340">
      <c r="A340" s="154"/>
      <c r="B340" s="126"/>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c r="AD340" s="122"/>
    </row>
    <row r="341">
      <c r="A341" s="154"/>
      <c r="B341" s="126"/>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c r="AD341" s="122"/>
    </row>
    <row r="342">
      <c r="A342" s="154"/>
      <c r="B342" s="126"/>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c r="AD342" s="122"/>
    </row>
    <row r="343">
      <c r="A343" s="154"/>
      <c r="B343" s="126"/>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c r="AD343" s="122"/>
    </row>
    <row r="344">
      <c r="A344" s="154"/>
      <c r="B344" s="126"/>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c r="AD344" s="122"/>
    </row>
    <row r="345">
      <c r="A345" s="154"/>
      <c r="B345" s="126"/>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c r="AD345" s="122"/>
    </row>
    <row r="346">
      <c r="A346" s="154"/>
      <c r="B346" s="126"/>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c r="AD346" s="122"/>
    </row>
    <row r="347">
      <c r="A347" s="154"/>
      <c r="B347" s="126"/>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c r="AD347" s="122"/>
    </row>
    <row r="348">
      <c r="A348" s="154"/>
      <c r="B348" s="126"/>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c r="AD348" s="122"/>
    </row>
    <row r="349">
      <c r="A349" s="154"/>
      <c r="B349" s="126"/>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c r="AD349" s="122"/>
    </row>
    <row r="350">
      <c r="A350" s="154"/>
      <c r="B350" s="126"/>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c r="AD350" s="122"/>
    </row>
    <row r="351">
      <c r="A351" s="154"/>
      <c r="B351" s="126"/>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c r="AD351" s="122"/>
    </row>
    <row r="352">
      <c r="A352" s="154"/>
      <c r="B352" s="126"/>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c r="AD352" s="122"/>
    </row>
    <row r="353">
      <c r="A353" s="154"/>
      <c r="B353" s="126"/>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c r="AD353" s="122"/>
    </row>
    <row r="354">
      <c r="A354" s="154"/>
      <c r="B354" s="126"/>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c r="AD354" s="122"/>
    </row>
    <row r="355">
      <c r="A355" s="154"/>
      <c r="B355" s="126"/>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c r="AD355" s="122"/>
    </row>
    <row r="356">
      <c r="A356" s="154"/>
      <c r="B356" s="126"/>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c r="AD356" s="122"/>
    </row>
    <row r="357">
      <c r="A357" s="154"/>
      <c r="B357" s="126"/>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c r="AD357" s="122"/>
    </row>
    <row r="358">
      <c r="A358" s="154"/>
      <c r="B358" s="126"/>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c r="AD358" s="122"/>
    </row>
    <row r="359">
      <c r="A359" s="154"/>
      <c r="B359" s="126"/>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c r="AD359" s="122"/>
    </row>
    <row r="360">
      <c r="A360" s="154"/>
      <c r="B360" s="126"/>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c r="AD360" s="122"/>
    </row>
    <row r="361">
      <c r="A361" s="154"/>
      <c r="B361" s="126"/>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c r="AD361" s="122"/>
    </row>
    <row r="362">
      <c r="A362" s="154"/>
      <c r="B362" s="126"/>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c r="AD362" s="122"/>
    </row>
    <row r="363">
      <c r="A363" s="154"/>
      <c r="B363" s="126"/>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c r="AD363" s="122"/>
    </row>
    <row r="364">
      <c r="A364" s="154"/>
      <c r="B364" s="126"/>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2"/>
    </row>
    <row r="365">
      <c r="A365" s="154"/>
      <c r="B365" s="126"/>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c r="AD365" s="122"/>
    </row>
    <row r="366">
      <c r="A366" s="154"/>
      <c r="B366" s="126"/>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c r="AD366" s="122"/>
    </row>
    <row r="367">
      <c r="A367" s="154"/>
      <c r="B367" s="126"/>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c r="AD367" s="122"/>
    </row>
    <row r="368">
      <c r="A368" s="154"/>
      <c r="B368" s="126"/>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c r="AD368" s="122"/>
    </row>
    <row r="369">
      <c r="A369" s="154"/>
      <c r="B369" s="126"/>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2"/>
    </row>
    <row r="370">
      <c r="A370" s="154"/>
      <c r="B370" s="126"/>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c r="AD370" s="122"/>
    </row>
    <row r="371">
      <c r="A371" s="154"/>
      <c r="B371" s="126"/>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c r="AD371" s="122"/>
    </row>
    <row r="372">
      <c r="A372" s="154"/>
      <c r="B372" s="126"/>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c r="AD372" s="122"/>
    </row>
    <row r="373">
      <c r="A373" s="154"/>
      <c r="B373" s="126"/>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c r="AD373" s="122"/>
    </row>
    <row r="374">
      <c r="A374" s="154"/>
      <c r="B374" s="126"/>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c r="AD374" s="122"/>
    </row>
    <row r="375">
      <c r="A375" s="154"/>
      <c r="B375" s="126"/>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c r="AD375" s="122"/>
    </row>
    <row r="376">
      <c r="A376" s="154"/>
      <c r="B376" s="126"/>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c r="AD376" s="122"/>
    </row>
    <row r="377">
      <c r="A377" s="154"/>
      <c r="B377" s="126"/>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c r="AD377" s="122"/>
    </row>
    <row r="378">
      <c r="A378" s="154"/>
      <c r="B378" s="126"/>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c r="AD378" s="122"/>
    </row>
    <row r="379">
      <c r="A379" s="154"/>
      <c r="B379" s="126"/>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c r="AD379" s="122"/>
    </row>
    <row r="380">
      <c r="A380" s="154"/>
      <c r="B380" s="126"/>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c r="AD380" s="122"/>
    </row>
    <row r="381">
      <c r="A381" s="154"/>
      <c r="B381" s="126"/>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c r="AD381" s="122"/>
    </row>
    <row r="382">
      <c r="A382" s="154"/>
      <c r="B382" s="126"/>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c r="AD382" s="122"/>
    </row>
    <row r="383">
      <c r="A383" s="154"/>
      <c r="B383" s="126"/>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c r="AD383" s="122"/>
    </row>
    <row r="384">
      <c r="A384" s="154"/>
      <c r="B384" s="126"/>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c r="AD384" s="122"/>
    </row>
    <row r="385">
      <c r="A385" s="154"/>
      <c r="B385" s="126"/>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c r="AD385" s="122"/>
    </row>
    <row r="386">
      <c r="A386" s="154"/>
      <c r="B386" s="126"/>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c r="AD386" s="122"/>
    </row>
    <row r="387">
      <c r="A387" s="154"/>
      <c r="B387" s="126"/>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c r="AD387" s="122"/>
    </row>
    <row r="388">
      <c r="A388" s="154"/>
      <c r="B388" s="126"/>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c r="AD388" s="122"/>
    </row>
    <row r="389">
      <c r="A389" s="154"/>
      <c r="B389" s="126"/>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c r="AD389" s="122"/>
    </row>
    <row r="390">
      <c r="A390" s="154"/>
      <c r="B390" s="126"/>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2"/>
    </row>
    <row r="391">
      <c r="A391" s="154"/>
      <c r="B391" s="126"/>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c r="AD391" s="122"/>
    </row>
    <row r="392">
      <c r="A392" s="154"/>
      <c r="B392" s="126"/>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c r="AD392" s="122"/>
    </row>
    <row r="393">
      <c r="A393" s="154"/>
      <c r="B393" s="126"/>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c r="AD393" s="122"/>
    </row>
    <row r="394">
      <c r="A394" s="154"/>
      <c r="B394" s="126"/>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c r="AD394" s="122"/>
    </row>
    <row r="395">
      <c r="A395" s="154"/>
      <c r="B395" s="126"/>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c r="AD395" s="122"/>
    </row>
    <row r="396">
      <c r="A396" s="154"/>
      <c r="B396" s="126"/>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c r="AD396" s="122"/>
    </row>
    <row r="397">
      <c r="A397" s="154"/>
      <c r="B397" s="126"/>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c r="AD397" s="122"/>
    </row>
    <row r="398">
      <c r="A398" s="154"/>
      <c r="B398" s="126"/>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c r="AD398" s="122"/>
    </row>
    <row r="399">
      <c r="A399" s="154"/>
      <c r="B399" s="126"/>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c r="AD399" s="122"/>
    </row>
    <row r="400">
      <c r="A400" s="154"/>
      <c r="B400" s="126"/>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c r="AD400" s="122"/>
    </row>
    <row r="401">
      <c r="A401" s="154"/>
      <c r="B401" s="126"/>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c r="AD401" s="122"/>
    </row>
    <row r="402">
      <c r="A402" s="154"/>
      <c r="B402" s="126"/>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c r="AD402" s="122"/>
    </row>
    <row r="403">
      <c r="A403" s="154"/>
      <c r="B403" s="126"/>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c r="AD403" s="122"/>
    </row>
    <row r="404">
      <c r="A404" s="154"/>
      <c r="B404" s="126"/>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c r="AD404" s="122"/>
    </row>
    <row r="405">
      <c r="A405" s="154"/>
      <c r="B405" s="126"/>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c r="AD405" s="122"/>
    </row>
    <row r="406">
      <c r="A406" s="154"/>
      <c r="B406" s="126"/>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c r="AD406" s="122"/>
    </row>
    <row r="407">
      <c r="A407" s="154"/>
      <c r="B407" s="126"/>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c r="AD407" s="122"/>
    </row>
    <row r="408">
      <c r="A408" s="154"/>
      <c r="B408" s="126"/>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c r="AD408" s="122"/>
    </row>
    <row r="409">
      <c r="A409" s="154"/>
      <c r="B409" s="126"/>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2"/>
    </row>
    <row r="410">
      <c r="A410" s="154"/>
      <c r="B410" s="126"/>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c r="AD410" s="122"/>
    </row>
    <row r="411">
      <c r="A411" s="154"/>
      <c r="B411" s="126"/>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c r="AD411" s="122"/>
    </row>
    <row r="412">
      <c r="A412" s="154"/>
      <c r="B412" s="126"/>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c r="AD412" s="122"/>
    </row>
    <row r="413">
      <c r="A413" s="154"/>
      <c r="B413" s="126"/>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c r="AD413" s="122"/>
    </row>
    <row r="414">
      <c r="A414" s="154"/>
      <c r="B414" s="126"/>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2"/>
    </row>
    <row r="415">
      <c r="A415" s="154"/>
      <c r="B415" s="126"/>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c r="AD415" s="122"/>
    </row>
    <row r="416">
      <c r="A416" s="154"/>
      <c r="B416" s="126"/>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c r="AD416" s="122"/>
    </row>
    <row r="417">
      <c r="A417" s="154"/>
      <c r="B417" s="126"/>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c r="AD417" s="122"/>
    </row>
    <row r="418">
      <c r="A418" s="154"/>
      <c r="B418" s="126"/>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c r="AD418" s="122"/>
    </row>
    <row r="419">
      <c r="A419" s="154"/>
      <c r="B419" s="126"/>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c r="AD419" s="122"/>
    </row>
    <row r="420">
      <c r="A420" s="154"/>
      <c r="B420" s="126"/>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c r="AD420" s="122"/>
    </row>
    <row r="421">
      <c r="A421" s="154"/>
      <c r="B421" s="126"/>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c r="AD421" s="122"/>
    </row>
    <row r="422">
      <c r="A422" s="154"/>
      <c r="B422" s="126"/>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c r="AD422" s="122"/>
    </row>
    <row r="423">
      <c r="A423" s="154"/>
      <c r="B423" s="126"/>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c r="AD423" s="122"/>
    </row>
    <row r="424">
      <c r="A424" s="154"/>
      <c r="B424" s="126"/>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c r="AD424" s="122"/>
    </row>
    <row r="425">
      <c r="A425" s="154"/>
      <c r="B425" s="126"/>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c r="AD425" s="122"/>
    </row>
    <row r="426">
      <c r="A426" s="154"/>
      <c r="B426" s="126"/>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c r="AD426" s="122"/>
    </row>
    <row r="427">
      <c r="A427" s="154"/>
      <c r="B427" s="126"/>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c r="AD427" s="122"/>
    </row>
    <row r="428">
      <c r="A428" s="154"/>
      <c r="B428" s="126"/>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c r="AD428" s="122"/>
    </row>
    <row r="429">
      <c r="A429" s="154"/>
      <c r="B429" s="126"/>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c r="AD429" s="122"/>
    </row>
    <row r="430">
      <c r="A430" s="154"/>
      <c r="B430" s="126"/>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c r="AD430" s="122"/>
    </row>
    <row r="431">
      <c r="A431" s="154"/>
      <c r="B431" s="126"/>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c r="AD431" s="122"/>
    </row>
    <row r="432">
      <c r="A432" s="154"/>
      <c r="B432" s="126"/>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c r="AD432" s="122"/>
    </row>
    <row r="433">
      <c r="A433" s="154"/>
      <c r="B433" s="126"/>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c r="AD433" s="122"/>
    </row>
    <row r="434">
      <c r="A434" s="154"/>
      <c r="B434" s="126"/>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2"/>
    </row>
    <row r="435">
      <c r="A435" s="154"/>
      <c r="B435" s="126"/>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c r="AD435" s="122"/>
    </row>
    <row r="436">
      <c r="A436" s="154"/>
      <c r="B436" s="126"/>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c r="AD436" s="122"/>
    </row>
    <row r="437">
      <c r="A437" s="154"/>
      <c r="B437" s="126"/>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c r="AD437" s="122"/>
    </row>
    <row r="438">
      <c r="A438" s="154"/>
      <c r="B438" s="126"/>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c r="AD438" s="122"/>
    </row>
    <row r="439">
      <c r="A439" s="154"/>
      <c r="B439" s="126"/>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c r="AD439" s="122"/>
    </row>
    <row r="440">
      <c r="A440" s="154"/>
      <c r="B440" s="126"/>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c r="AD440" s="122"/>
    </row>
    <row r="441">
      <c r="A441" s="154"/>
      <c r="B441" s="126"/>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c r="AD441" s="122"/>
    </row>
    <row r="442">
      <c r="A442" s="154"/>
      <c r="B442" s="126"/>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c r="AD442" s="122"/>
    </row>
    <row r="443">
      <c r="A443" s="154"/>
      <c r="B443" s="126"/>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c r="AD443" s="122"/>
    </row>
    <row r="444">
      <c r="A444" s="154"/>
      <c r="B444" s="126"/>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c r="AD444" s="122"/>
    </row>
    <row r="445">
      <c r="A445" s="154"/>
      <c r="B445" s="126"/>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c r="AD445" s="122"/>
    </row>
    <row r="446">
      <c r="A446" s="154"/>
      <c r="B446" s="126"/>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c r="AD446" s="122"/>
    </row>
    <row r="447">
      <c r="A447" s="154"/>
      <c r="B447" s="126"/>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c r="AD447" s="122"/>
    </row>
    <row r="448">
      <c r="A448" s="154"/>
      <c r="B448" s="126"/>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c r="AD448" s="122"/>
    </row>
    <row r="449">
      <c r="A449" s="154"/>
      <c r="B449" s="126"/>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c r="AD449" s="122"/>
    </row>
    <row r="450">
      <c r="A450" s="154"/>
      <c r="B450" s="126"/>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c r="AD450" s="122"/>
    </row>
    <row r="451">
      <c r="A451" s="154"/>
      <c r="B451" s="126"/>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c r="AD451" s="122"/>
    </row>
    <row r="452">
      <c r="A452" s="154"/>
      <c r="B452" s="126"/>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c r="AD452" s="122"/>
    </row>
    <row r="453">
      <c r="A453" s="154"/>
      <c r="B453" s="126"/>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c r="AD453" s="122"/>
    </row>
    <row r="454">
      <c r="A454" s="154"/>
      <c r="B454" s="126"/>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c r="AD454" s="122"/>
    </row>
    <row r="455">
      <c r="A455" s="154"/>
      <c r="B455" s="126"/>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c r="AD455" s="122"/>
    </row>
    <row r="456">
      <c r="A456" s="154"/>
      <c r="B456" s="126"/>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c r="AD456" s="122"/>
    </row>
    <row r="457">
      <c r="A457" s="154"/>
      <c r="B457" s="126"/>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c r="AD457" s="122"/>
    </row>
    <row r="458">
      <c r="A458" s="154"/>
      <c r="B458" s="126"/>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c r="AD458" s="122"/>
    </row>
    <row r="459">
      <c r="A459" s="154"/>
      <c r="B459" s="126"/>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c r="AD459" s="122"/>
    </row>
    <row r="460">
      <c r="A460" s="154"/>
      <c r="B460" s="126"/>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c r="AD460" s="122"/>
    </row>
    <row r="461">
      <c r="A461" s="154"/>
      <c r="B461" s="126"/>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c r="AD461" s="122"/>
    </row>
    <row r="462">
      <c r="A462" s="154"/>
      <c r="B462" s="126"/>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c r="AD462" s="122"/>
    </row>
    <row r="463">
      <c r="A463" s="154"/>
      <c r="B463" s="126"/>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c r="AD463" s="122"/>
    </row>
    <row r="464">
      <c r="A464" s="154"/>
      <c r="B464" s="126"/>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c r="AD464" s="122"/>
    </row>
    <row r="465">
      <c r="A465" s="154"/>
      <c r="B465" s="126"/>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c r="AD465" s="122"/>
    </row>
    <row r="466">
      <c r="A466" s="154"/>
      <c r="B466" s="126"/>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c r="AD466" s="122"/>
    </row>
    <row r="467">
      <c r="A467" s="154"/>
      <c r="B467" s="126"/>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2"/>
    </row>
    <row r="468">
      <c r="A468" s="154"/>
      <c r="B468" s="126"/>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c r="AD468" s="122"/>
    </row>
    <row r="469">
      <c r="A469" s="154"/>
      <c r="B469" s="126"/>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2"/>
    </row>
    <row r="470">
      <c r="A470" s="154"/>
      <c r="B470" s="126"/>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c r="AD470" s="122"/>
    </row>
    <row r="471">
      <c r="A471" s="154"/>
      <c r="B471" s="126"/>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c r="AD471" s="122"/>
    </row>
    <row r="472">
      <c r="A472" s="154"/>
      <c r="B472" s="126"/>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2"/>
    </row>
    <row r="473">
      <c r="A473" s="154"/>
      <c r="B473" s="126"/>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c r="AD473" s="122"/>
    </row>
    <row r="474">
      <c r="A474" s="154"/>
      <c r="B474" s="126"/>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2"/>
    </row>
    <row r="475">
      <c r="A475" s="154"/>
      <c r="B475" s="126"/>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c r="AD475" s="122"/>
    </row>
    <row r="476">
      <c r="A476" s="154"/>
      <c r="B476" s="126"/>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c r="AD476" s="122"/>
    </row>
    <row r="477">
      <c r="A477" s="154"/>
      <c r="B477" s="126"/>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2"/>
    </row>
    <row r="478">
      <c r="A478" s="154"/>
      <c r="B478" s="126"/>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c r="AD478" s="122"/>
    </row>
    <row r="479">
      <c r="A479" s="154"/>
      <c r="B479" s="126"/>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2"/>
    </row>
    <row r="480">
      <c r="A480" s="154"/>
      <c r="B480" s="126"/>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c r="AD480" s="122"/>
    </row>
    <row r="481">
      <c r="A481" s="154"/>
      <c r="B481" s="126"/>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c r="AD481" s="122"/>
    </row>
    <row r="482">
      <c r="A482" s="154"/>
      <c r="B482" s="126"/>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2"/>
    </row>
    <row r="483">
      <c r="A483" s="154"/>
      <c r="B483" s="126"/>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c r="AD483" s="122"/>
    </row>
    <row r="484">
      <c r="A484" s="154"/>
      <c r="B484" s="126"/>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c r="AD484" s="122"/>
    </row>
    <row r="485">
      <c r="A485" s="154"/>
      <c r="B485" s="126"/>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c r="AD485" s="122"/>
    </row>
    <row r="486">
      <c r="A486" s="154"/>
      <c r="B486" s="126"/>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row>
    <row r="487">
      <c r="A487" s="154"/>
      <c r="B487" s="126"/>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2"/>
    </row>
    <row r="488">
      <c r="A488" s="154"/>
      <c r="B488" s="126"/>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c r="AD488" s="122"/>
    </row>
    <row r="489">
      <c r="A489" s="154"/>
      <c r="B489" s="126"/>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c r="AD489" s="122"/>
    </row>
    <row r="490">
      <c r="A490" s="154"/>
      <c r="B490" s="126"/>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c r="AD490" s="122"/>
    </row>
    <row r="491">
      <c r="A491" s="154"/>
      <c r="B491" s="126"/>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c r="AD491" s="122"/>
    </row>
    <row r="492">
      <c r="A492" s="154"/>
      <c r="B492" s="126"/>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2"/>
    </row>
    <row r="493">
      <c r="A493" s="154"/>
      <c r="B493" s="126"/>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c r="AD493" s="122"/>
    </row>
    <row r="494">
      <c r="A494" s="154"/>
      <c r="B494" s="126"/>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c r="AD494" s="122"/>
    </row>
    <row r="495">
      <c r="A495" s="154"/>
      <c r="B495" s="126"/>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c r="AD495" s="122"/>
    </row>
    <row r="496">
      <c r="A496" s="154"/>
      <c r="B496" s="126"/>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2"/>
    </row>
    <row r="497">
      <c r="A497" s="154"/>
      <c r="B497" s="126"/>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2"/>
    </row>
    <row r="498">
      <c r="A498" s="154"/>
      <c r="B498" s="126"/>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c r="AD498" s="122"/>
    </row>
    <row r="499">
      <c r="A499" s="154"/>
      <c r="B499" s="126"/>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c r="AD499" s="122"/>
    </row>
    <row r="500">
      <c r="A500" s="154"/>
      <c r="B500" s="126"/>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2"/>
    </row>
    <row r="501">
      <c r="A501" s="154"/>
      <c r="B501" s="126"/>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c r="AD501" s="122"/>
    </row>
    <row r="502">
      <c r="A502" s="154"/>
      <c r="B502" s="126"/>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2"/>
    </row>
    <row r="503">
      <c r="A503" s="154"/>
      <c r="B503" s="126"/>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c r="AD503" s="122"/>
    </row>
    <row r="504">
      <c r="A504" s="154"/>
      <c r="B504" s="126"/>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c r="AD504" s="122"/>
    </row>
    <row r="505">
      <c r="A505" s="154"/>
      <c r="B505" s="126"/>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c r="AD505" s="122"/>
    </row>
    <row r="506">
      <c r="A506" s="154"/>
      <c r="B506" s="126"/>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c r="AD506" s="122"/>
    </row>
    <row r="507">
      <c r="A507" s="154"/>
      <c r="B507" s="126"/>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2"/>
    </row>
    <row r="508">
      <c r="A508" s="154"/>
      <c r="B508" s="126"/>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c r="AD508" s="122"/>
    </row>
    <row r="509">
      <c r="A509" s="154"/>
      <c r="B509" s="126"/>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2"/>
    </row>
    <row r="510">
      <c r="A510" s="154"/>
      <c r="B510" s="126"/>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c r="AD510" s="122"/>
    </row>
    <row r="511">
      <c r="A511" s="154"/>
      <c r="B511" s="126"/>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c r="AD511" s="122"/>
    </row>
    <row r="512">
      <c r="A512" s="154"/>
      <c r="B512" s="126"/>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2"/>
    </row>
    <row r="513">
      <c r="A513" s="154"/>
      <c r="B513" s="126"/>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c r="AD513" s="122"/>
    </row>
    <row r="514">
      <c r="A514" s="154"/>
      <c r="B514" s="126"/>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c r="AD514" s="122"/>
    </row>
    <row r="515">
      <c r="A515" s="154"/>
      <c r="B515" s="126"/>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c r="AD515" s="122"/>
    </row>
    <row r="516">
      <c r="A516" s="154"/>
      <c r="B516" s="126"/>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c r="AD516" s="122"/>
    </row>
    <row r="517">
      <c r="A517" s="154"/>
      <c r="B517" s="126"/>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2"/>
    </row>
    <row r="518">
      <c r="A518" s="154"/>
      <c r="B518" s="126"/>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c r="AD518" s="122"/>
    </row>
    <row r="519">
      <c r="A519" s="154"/>
      <c r="B519" s="126"/>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c r="AD519" s="122"/>
    </row>
    <row r="520">
      <c r="A520" s="154"/>
      <c r="B520" s="126"/>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c r="AD520" s="122"/>
    </row>
    <row r="521">
      <c r="A521" s="154"/>
      <c r="B521" s="126"/>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c r="AD521" s="122"/>
    </row>
    <row r="522">
      <c r="A522" s="154"/>
      <c r="B522" s="126"/>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2"/>
    </row>
    <row r="523">
      <c r="A523" s="154"/>
      <c r="B523" s="126"/>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c r="AD523" s="122"/>
    </row>
    <row r="524">
      <c r="A524" s="154"/>
      <c r="B524" s="126"/>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c r="AD524" s="122"/>
    </row>
    <row r="525">
      <c r="A525" s="154"/>
      <c r="B525" s="126"/>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c r="AD525" s="122"/>
    </row>
    <row r="526">
      <c r="A526" s="154"/>
      <c r="B526" s="126"/>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c r="AD526" s="122"/>
    </row>
    <row r="527">
      <c r="A527" s="154"/>
      <c r="B527" s="126"/>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c r="AD527" s="122"/>
    </row>
    <row r="528">
      <c r="A528" s="154"/>
      <c r="B528" s="126"/>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c r="AD528" s="122"/>
    </row>
    <row r="529">
      <c r="A529" s="154"/>
      <c r="B529" s="126"/>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c r="AD529" s="122"/>
    </row>
    <row r="530">
      <c r="A530" s="154"/>
      <c r="B530" s="126"/>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c r="AD530" s="122"/>
    </row>
    <row r="531">
      <c r="A531" s="154"/>
      <c r="B531" s="126"/>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c r="AD531" s="122"/>
    </row>
    <row r="532">
      <c r="A532" s="154"/>
      <c r="B532" s="126"/>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c r="AD532" s="122"/>
    </row>
    <row r="533">
      <c r="A533" s="154"/>
      <c r="B533" s="126"/>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c r="AD533" s="122"/>
    </row>
    <row r="534">
      <c r="A534" s="154"/>
      <c r="B534" s="126"/>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c r="AD534" s="122"/>
    </row>
    <row r="535">
      <c r="A535" s="154"/>
      <c r="B535" s="126"/>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c r="AD535" s="122"/>
    </row>
    <row r="536">
      <c r="A536" s="154"/>
      <c r="B536" s="126"/>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c r="AD536" s="122"/>
    </row>
    <row r="537">
      <c r="A537" s="154"/>
      <c r="B537" s="126"/>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c r="AD537" s="122"/>
    </row>
    <row r="538">
      <c r="A538" s="154"/>
      <c r="B538" s="126"/>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c r="AD538" s="122"/>
    </row>
    <row r="539">
      <c r="A539" s="154"/>
      <c r="B539" s="126"/>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2"/>
    </row>
    <row r="540">
      <c r="A540" s="154"/>
      <c r="B540" s="126"/>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c r="AD540" s="122"/>
    </row>
    <row r="541">
      <c r="A541" s="154"/>
      <c r="B541" s="126"/>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2"/>
    </row>
    <row r="542">
      <c r="A542" s="154"/>
      <c r="B542" s="126"/>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c r="AD542" s="122"/>
    </row>
    <row r="543">
      <c r="A543" s="154"/>
      <c r="B543" s="126"/>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2"/>
    </row>
    <row r="544">
      <c r="A544" s="154"/>
      <c r="B544" s="126"/>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c r="AD544" s="122"/>
    </row>
    <row r="545">
      <c r="A545" s="154"/>
      <c r="B545" s="126"/>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c r="AD545" s="122"/>
    </row>
    <row r="546">
      <c r="A546" s="154"/>
      <c r="B546" s="126"/>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c r="AD546" s="122"/>
    </row>
    <row r="547">
      <c r="A547" s="154"/>
      <c r="B547" s="126"/>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c r="AD547" s="122"/>
    </row>
    <row r="548">
      <c r="A548" s="154"/>
      <c r="B548" s="126"/>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c r="AD548" s="122"/>
    </row>
    <row r="549">
      <c r="A549" s="154"/>
      <c r="B549" s="126"/>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c r="AD549" s="122"/>
    </row>
    <row r="550">
      <c r="A550" s="154"/>
      <c r="B550" s="126"/>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c r="AD550" s="122"/>
    </row>
    <row r="551">
      <c r="A551" s="154"/>
      <c r="B551" s="126"/>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c r="AD551" s="122"/>
    </row>
    <row r="552">
      <c r="A552" s="154"/>
      <c r="B552" s="126"/>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c r="AD552" s="122"/>
    </row>
    <row r="553">
      <c r="A553" s="154"/>
      <c r="B553" s="126"/>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c r="AD553" s="122"/>
    </row>
    <row r="554">
      <c r="A554" s="154"/>
      <c r="B554" s="126"/>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c r="AD554" s="122"/>
    </row>
    <row r="555">
      <c r="A555" s="154"/>
      <c r="B555" s="126"/>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c r="AD555" s="122"/>
    </row>
    <row r="556">
      <c r="A556" s="154"/>
      <c r="B556" s="126"/>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c r="AD556" s="122"/>
    </row>
    <row r="557">
      <c r="A557" s="154"/>
      <c r="B557" s="126"/>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c r="AD557" s="122"/>
    </row>
    <row r="558">
      <c r="A558" s="154"/>
      <c r="B558" s="126"/>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c r="AD558" s="122"/>
    </row>
    <row r="559">
      <c r="A559" s="154"/>
      <c r="B559" s="126"/>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c r="AD559" s="122"/>
    </row>
    <row r="560">
      <c r="A560" s="154"/>
      <c r="B560" s="126"/>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c r="AD560" s="122"/>
    </row>
    <row r="561">
      <c r="A561" s="154"/>
      <c r="B561" s="126"/>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c r="AD561" s="122"/>
    </row>
    <row r="562">
      <c r="A562" s="154"/>
      <c r="B562" s="126"/>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c r="AD562" s="122"/>
    </row>
    <row r="563">
      <c r="A563" s="154"/>
      <c r="B563" s="126"/>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c r="AD563" s="122"/>
    </row>
    <row r="564">
      <c r="A564" s="154"/>
      <c r="B564" s="126"/>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c r="AD564" s="122"/>
    </row>
    <row r="565">
      <c r="A565" s="154"/>
      <c r="B565" s="126"/>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c r="AD565" s="122"/>
    </row>
    <row r="566">
      <c r="A566" s="154"/>
      <c r="B566" s="126"/>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c r="AD566" s="122"/>
    </row>
    <row r="567">
      <c r="A567" s="154"/>
      <c r="B567" s="126"/>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c r="AD567" s="122"/>
    </row>
    <row r="568">
      <c r="A568" s="154"/>
      <c r="B568" s="126"/>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c r="AD568" s="122"/>
    </row>
    <row r="569">
      <c r="A569" s="154"/>
      <c r="B569" s="126"/>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c r="AD569" s="122"/>
    </row>
    <row r="570">
      <c r="A570" s="154"/>
      <c r="B570" s="126"/>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c r="AD570" s="122"/>
    </row>
    <row r="571">
      <c r="A571" s="154"/>
      <c r="B571" s="126"/>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c r="AD571" s="122"/>
    </row>
    <row r="572">
      <c r="A572" s="154"/>
      <c r="B572" s="126"/>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c r="AD572" s="122"/>
    </row>
    <row r="573">
      <c r="A573" s="154"/>
      <c r="B573" s="126"/>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c r="AD573" s="122"/>
    </row>
    <row r="574">
      <c r="A574" s="154"/>
      <c r="B574" s="126"/>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c r="AD574" s="122"/>
    </row>
    <row r="575">
      <c r="A575" s="154"/>
      <c r="B575" s="126"/>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2"/>
    </row>
    <row r="576">
      <c r="A576" s="154"/>
      <c r="B576" s="126"/>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c r="AD576" s="122"/>
    </row>
    <row r="577">
      <c r="A577" s="154"/>
      <c r="B577" s="126"/>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c r="AD577" s="122"/>
    </row>
    <row r="578">
      <c r="A578" s="154"/>
      <c r="B578" s="126"/>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c r="AD578" s="122"/>
    </row>
    <row r="579">
      <c r="A579" s="154"/>
      <c r="B579" s="126"/>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c r="AD579" s="122"/>
    </row>
    <row r="580">
      <c r="A580" s="154"/>
      <c r="B580" s="126"/>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c r="AD580" s="122"/>
    </row>
    <row r="581">
      <c r="A581" s="154"/>
      <c r="B581" s="126"/>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c r="AD581" s="122"/>
    </row>
    <row r="582">
      <c r="A582" s="154"/>
      <c r="B582" s="126"/>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c r="AD582" s="122"/>
    </row>
    <row r="583">
      <c r="A583" s="154"/>
      <c r="B583" s="126"/>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c r="AD583" s="122"/>
    </row>
    <row r="584">
      <c r="A584" s="154"/>
      <c r="B584" s="126"/>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c r="AD584" s="122"/>
    </row>
    <row r="585">
      <c r="A585" s="154"/>
      <c r="B585" s="126"/>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c r="AD585" s="122"/>
    </row>
    <row r="586">
      <c r="A586" s="154"/>
      <c r="B586" s="126"/>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c r="AD586" s="122"/>
    </row>
    <row r="587">
      <c r="A587" s="154"/>
      <c r="B587" s="126"/>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row>
    <row r="588">
      <c r="A588" s="154"/>
      <c r="B588" s="126"/>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row>
    <row r="589">
      <c r="A589" s="154"/>
      <c r="B589" s="126"/>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c r="AD589" s="122"/>
    </row>
    <row r="590">
      <c r="A590" s="154"/>
      <c r="B590" s="126"/>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c r="AD590" s="122"/>
    </row>
    <row r="591">
      <c r="A591" s="154"/>
      <c r="B591" s="126"/>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c r="AD591" s="122"/>
    </row>
    <row r="592">
      <c r="A592" s="154"/>
      <c r="B592" s="126"/>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c r="AD592" s="122"/>
    </row>
    <row r="593">
      <c r="A593" s="154"/>
      <c r="B593" s="126"/>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c r="AD593" s="122"/>
    </row>
    <row r="594">
      <c r="A594" s="154"/>
      <c r="B594" s="126"/>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2"/>
    </row>
    <row r="595">
      <c r="A595" s="154"/>
      <c r="B595" s="126"/>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c r="AD595" s="122"/>
    </row>
    <row r="596">
      <c r="A596" s="154"/>
      <c r="B596" s="126"/>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2"/>
    </row>
    <row r="597">
      <c r="A597" s="154"/>
      <c r="B597" s="126"/>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c r="AD597" s="122"/>
    </row>
    <row r="598">
      <c r="A598" s="154"/>
      <c r="B598" s="126"/>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c r="AD598" s="122"/>
    </row>
    <row r="599">
      <c r="A599" s="154"/>
      <c r="B599" s="126"/>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c r="AD599" s="122"/>
    </row>
    <row r="600">
      <c r="A600" s="154"/>
      <c r="B600" s="126"/>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c r="AD600" s="122"/>
    </row>
    <row r="601">
      <c r="A601" s="154"/>
      <c r="B601" s="126"/>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c r="AD601" s="122"/>
    </row>
    <row r="602">
      <c r="A602" s="154"/>
      <c r="B602" s="126"/>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row>
    <row r="603">
      <c r="A603" s="154"/>
      <c r="B603" s="126"/>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row>
    <row r="604">
      <c r="A604" s="154"/>
      <c r="B604" s="126"/>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c r="AD604" s="122"/>
    </row>
    <row r="605">
      <c r="A605" s="154"/>
      <c r="B605" s="126"/>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c r="AD605" s="122"/>
    </row>
    <row r="606">
      <c r="A606" s="154"/>
      <c r="B606" s="126"/>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c r="AD606" s="122"/>
    </row>
    <row r="607">
      <c r="A607" s="154"/>
      <c r="B607" s="126"/>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c r="AD607" s="122"/>
    </row>
    <row r="608">
      <c r="A608" s="154"/>
      <c r="B608" s="126"/>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c r="AD608" s="122"/>
    </row>
    <row r="609">
      <c r="A609" s="154"/>
      <c r="B609" s="126"/>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c r="AD609" s="122"/>
    </row>
    <row r="610">
      <c r="A610" s="154"/>
      <c r="B610" s="126"/>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c r="AD610" s="122"/>
    </row>
    <row r="611">
      <c r="A611" s="154"/>
      <c r="B611" s="126"/>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c r="AD611" s="122"/>
    </row>
    <row r="612">
      <c r="A612" s="154"/>
      <c r="B612" s="126"/>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c r="AD612" s="122"/>
    </row>
    <row r="613">
      <c r="A613" s="154"/>
      <c r="B613" s="126"/>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c r="AD613" s="122"/>
    </row>
    <row r="614">
      <c r="A614" s="154"/>
      <c r="B614" s="126"/>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c r="AD614" s="122"/>
    </row>
    <row r="615">
      <c r="A615" s="154"/>
      <c r="B615" s="126"/>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c r="AD615" s="122"/>
    </row>
    <row r="616">
      <c r="A616" s="154"/>
      <c r="B616" s="126"/>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c r="AD616" s="122"/>
    </row>
    <row r="617">
      <c r="A617" s="154"/>
      <c r="B617" s="126"/>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row>
    <row r="618">
      <c r="A618" s="154"/>
      <c r="B618" s="126"/>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c r="AD618" s="122"/>
    </row>
    <row r="619">
      <c r="A619" s="154"/>
      <c r="B619" s="126"/>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c r="AD619" s="122"/>
    </row>
    <row r="620">
      <c r="A620" s="154"/>
      <c r="B620" s="126"/>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c r="AD620" s="122"/>
    </row>
    <row r="621">
      <c r="A621" s="154"/>
      <c r="B621" s="126"/>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c r="AD621" s="122"/>
    </row>
    <row r="622">
      <c r="A622" s="154"/>
      <c r="B622" s="126"/>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c r="AD622" s="122"/>
    </row>
    <row r="623">
      <c r="A623" s="154"/>
      <c r="B623" s="126"/>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c r="AD623" s="122"/>
    </row>
    <row r="624">
      <c r="A624" s="154"/>
      <c r="B624" s="126"/>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c r="AD624" s="122"/>
    </row>
    <row r="625">
      <c r="A625" s="154"/>
      <c r="B625" s="126"/>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c r="AD625" s="122"/>
    </row>
    <row r="626">
      <c r="A626" s="154"/>
      <c r="B626" s="126"/>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c r="AD626" s="122"/>
    </row>
    <row r="627">
      <c r="A627" s="154"/>
      <c r="B627" s="126"/>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c r="AD627" s="122"/>
    </row>
    <row r="628">
      <c r="A628" s="154"/>
      <c r="B628" s="126"/>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c r="AD628" s="122"/>
    </row>
    <row r="629">
      <c r="A629" s="154"/>
      <c r="B629" s="126"/>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c r="AD629" s="122"/>
    </row>
    <row r="630">
      <c r="A630" s="154"/>
      <c r="B630" s="126"/>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c r="AD630" s="122"/>
    </row>
    <row r="631">
      <c r="A631" s="154"/>
      <c r="B631" s="126"/>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c r="AD631" s="122"/>
    </row>
    <row r="632">
      <c r="A632" s="154"/>
      <c r="B632" s="126"/>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c r="AD632" s="122"/>
    </row>
    <row r="633">
      <c r="A633" s="154"/>
      <c r="B633" s="126"/>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c r="AD633" s="122"/>
    </row>
    <row r="634">
      <c r="A634" s="154"/>
      <c r="B634" s="126"/>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c r="AD634" s="122"/>
    </row>
    <row r="635">
      <c r="A635" s="154"/>
      <c r="B635" s="126"/>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c r="AD635" s="122"/>
    </row>
    <row r="636">
      <c r="A636" s="154"/>
      <c r="B636" s="126"/>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c r="AD636" s="122"/>
    </row>
    <row r="637">
      <c r="A637" s="154"/>
      <c r="B637" s="126"/>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c r="AD637" s="122"/>
    </row>
    <row r="638">
      <c r="A638" s="154"/>
      <c r="B638" s="126"/>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c r="AD638" s="122"/>
    </row>
    <row r="639">
      <c r="A639" s="154"/>
      <c r="B639" s="126"/>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c r="AD639" s="122"/>
    </row>
    <row r="640">
      <c r="A640" s="154"/>
      <c r="B640" s="126"/>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c r="AD640" s="122"/>
    </row>
    <row r="641">
      <c r="A641" s="154"/>
      <c r="B641" s="126"/>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c r="AD641" s="122"/>
    </row>
    <row r="642">
      <c r="A642" s="154"/>
      <c r="B642" s="126"/>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c r="AD642" s="122"/>
    </row>
    <row r="643">
      <c r="A643" s="154"/>
      <c r="B643" s="126"/>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c r="AD643" s="122"/>
    </row>
    <row r="644">
      <c r="A644" s="154"/>
      <c r="B644" s="126"/>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c r="AD644" s="122"/>
    </row>
    <row r="645">
      <c r="A645" s="154"/>
      <c r="B645" s="126"/>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c r="AD645" s="122"/>
    </row>
    <row r="646">
      <c r="A646" s="154"/>
      <c r="B646" s="126"/>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c r="AD646" s="122"/>
    </row>
    <row r="647">
      <c r="A647" s="154"/>
      <c r="B647" s="126"/>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c r="AD647" s="122"/>
    </row>
    <row r="648">
      <c r="A648" s="154"/>
      <c r="B648" s="126"/>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2"/>
    </row>
    <row r="649">
      <c r="A649" s="154"/>
      <c r="B649" s="126"/>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c r="AD649" s="122"/>
    </row>
    <row r="650">
      <c r="A650" s="154"/>
      <c r="B650" s="126"/>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c r="AD650" s="122"/>
    </row>
    <row r="651">
      <c r="A651" s="154"/>
      <c r="B651" s="126"/>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c r="AD651" s="122"/>
    </row>
    <row r="652">
      <c r="A652" s="154"/>
      <c r="B652" s="126"/>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c r="AD652" s="122"/>
    </row>
    <row r="653">
      <c r="A653" s="154"/>
      <c r="B653" s="126"/>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c r="AD653" s="122"/>
    </row>
    <row r="654">
      <c r="A654" s="154"/>
      <c r="B654" s="126"/>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c r="AD654" s="122"/>
    </row>
    <row r="655">
      <c r="A655" s="154"/>
      <c r="B655" s="126"/>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c r="AD655" s="122"/>
    </row>
    <row r="656">
      <c r="A656" s="154"/>
      <c r="B656" s="126"/>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c r="AD656" s="122"/>
    </row>
    <row r="657">
      <c r="A657" s="154"/>
      <c r="B657" s="126"/>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c r="AD657" s="122"/>
    </row>
    <row r="658">
      <c r="A658" s="154"/>
      <c r="B658" s="126"/>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c r="AD658" s="122"/>
    </row>
    <row r="659">
      <c r="A659" s="154"/>
      <c r="B659" s="126"/>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c r="AD659" s="122"/>
    </row>
    <row r="660">
      <c r="A660" s="154"/>
      <c r="B660" s="126"/>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c r="AD660" s="122"/>
    </row>
    <row r="661">
      <c r="A661" s="154"/>
      <c r="B661" s="126"/>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c r="AD661" s="122"/>
    </row>
    <row r="662">
      <c r="A662" s="154"/>
      <c r="B662" s="126"/>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c r="AD662" s="122"/>
    </row>
    <row r="663">
      <c r="A663" s="154"/>
      <c r="B663" s="126"/>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c r="AD663" s="122"/>
    </row>
    <row r="664">
      <c r="A664" s="154"/>
      <c r="B664" s="126"/>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c r="AD664" s="122"/>
    </row>
    <row r="665">
      <c r="A665" s="154"/>
      <c r="B665" s="126"/>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c r="AD665" s="122"/>
    </row>
    <row r="666">
      <c r="A666" s="154"/>
      <c r="B666" s="126"/>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c r="AD666" s="122"/>
    </row>
    <row r="667">
      <c r="A667" s="154"/>
      <c r="B667" s="126"/>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c r="AD667" s="122"/>
    </row>
    <row r="668">
      <c r="A668" s="154"/>
      <c r="B668" s="126"/>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row>
    <row r="669">
      <c r="A669" s="154"/>
      <c r="B669" s="126"/>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c r="AD669" s="122"/>
    </row>
    <row r="670">
      <c r="A670" s="154"/>
      <c r="B670" s="126"/>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2"/>
    </row>
    <row r="671">
      <c r="A671" s="154"/>
      <c r="B671" s="126"/>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c r="AD671" s="122"/>
    </row>
    <row r="672">
      <c r="A672" s="154"/>
      <c r="B672" s="126"/>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row>
    <row r="673">
      <c r="A673" s="154"/>
      <c r="B673" s="126"/>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row>
    <row r="674">
      <c r="A674" s="154"/>
      <c r="B674" s="126"/>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row>
    <row r="675">
      <c r="A675" s="154"/>
      <c r="B675" s="126"/>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2"/>
    </row>
    <row r="676">
      <c r="A676" s="154"/>
      <c r="B676" s="126"/>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2"/>
    </row>
    <row r="677">
      <c r="A677" s="154"/>
      <c r="B677" s="126"/>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c r="AD677" s="122"/>
    </row>
    <row r="678">
      <c r="A678" s="154"/>
      <c r="B678" s="126"/>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row>
    <row r="679">
      <c r="A679" s="154"/>
      <c r="B679" s="126"/>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c r="AD679" s="122"/>
    </row>
    <row r="680">
      <c r="A680" s="154"/>
      <c r="B680" s="126"/>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2"/>
    </row>
    <row r="681">
      <c r="A681" s="154"/>
      <c r="B681" s="126"/>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c r="AD681" s="122"/>
    </row>
    <row r="682">
      <c r="A682" s="154"/>
      <c r="B682" s="126"/>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c r="AD682" s="122"/>
    </row>
    <row r="683">
      <c r="A683" s="154"/>
      <c r="B683" s="126"/>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row>
    <row r="684">
      <c r="A684" s="154"/>
      <c r="B684" s="126"/>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c r="AD684" s="122"/>
    </row>
    <row r="685">
      <c r="A685" s="154"/>
      <c r="B685" s="126"/>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c r="AD685" s="122"/>
    </row>
    <row r="686">
      <c r="A686" s="154"/>
      <c r="B686" s="126"/>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c r="AD686" s="122"/>
    </row>
    <row r="687">
      <c r="A687" s="154"/>
      <c r="B687" s="126"/>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row>
    <row r="688">
      <c r="A688" s="154"/>
      <c r="B688" s="126"/>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row>
    <row r="689">
      <c r="A689" s="154"/>
      <c r="B689" s="126"/>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row>
    <row r="690">
      <c r="A690" s="154"/>
      <c r="B690" s="126"/>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c r="AD690" s="122"/>
    </row>
    <row r="691">
      <c r="A691" s="154"/>
      <c r="B691" s="126"/>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c r="AD691" s="122"/>
    </row>
    <row r="692">
      <c r="A692" s="154"/>
      <c r="B692" s="126"/>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c r="AD692" s="122"/>
    </row>
    <row r="693">
      <c r="A693" s="154"/>
      <c r="B693" s="126"/>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row>
    <row r="694">
      <c r="A694" s="154"/>
      <c r="B694" s="126"/>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c r="AD694" s="122"/>
    </row>
    <row r="695">
      <c r="A695" s="154"/>
      <c r="B695" s="126"/>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c r="AD695" s="122"/>
    </row>
    <row r="696">
      <c r="A696" s="154"/>
      <c r="B696" s="126"/>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c r="AD696" s="122"/>
    </row>
    <row r="697">
      <c r="A697" s="154"/>
      <c r="B697" s="126"/>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c r="AD697" s="122"/>
    </row>
    <row r="698">
      <c r="A698" s="154"/>
      <c r="B698" s="126"/>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c r="AD698" s="122"/>
    </row>
    <row r="699">
      <c r="A699" s="154"/>
      <c r="B699" s="126"/>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c r="AD699" s="122"/>
    </row>
    <row r="700">
      <c r="A700" s="154"/>
      <c r="B700" s="126"/>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c r="AD700" s="122"/>
    </row>
    <row r="701">
      <c r="A701" s="154"/>
      <c r="B701" s="126"/>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c r="AD701" s="122"/>
    </row>
    <row r="702">
      <c r="A702" s="154"/>
      <c r="B702" s="126"/>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c r="AD702" s="122"/>
    </row>
    <row r="703">
      <c r="A703" s="154"/>
      <c r="B703" s="126"/>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c r="AD703" s="122"/>
    </row>
    <row r="704">
      <c r="A704" s="154"/>
      <c r="B704" s="126"/>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c r="AD704" s="122"/>
    </row>
    <row r="705">
      <c r="A705" s="154"/>
      <c r="B705" s="126"/>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c r="AD705" s="122"/>
    </row>
    <row r="706">
      <c r="A706" s="154"/>
      <c r="B706" s="126"/>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c r="AD706" s="122"/>
    </row>
    <row r="707">
      <c r="A707" s="154"/>
      <c r="B707" s="126"/>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c r="AD707" s="122"/>
    </row>
    <row r="708">
      <c r="A708" s="154"/>
      <c r="B708" s="126"/>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c r="AD708" s="122"/>
    </row>
    <row r="709">
      <c r="A709" s="154"/>
      <c r="B709" s="126"/>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c r="AD709" s="122"/>
    </row>
    <row r="710">
      <c r="A710" s="154"/>
      <c r="B710" s="126"/>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c r="AD710" s="122"/>
    </row>
    <row r="711">
      <c r="A711" s="154"/>
      <c r="B711" s="126"/>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c r="AD711" s="122"/>
    </row>
    <row r="712">
      <c r="A712" s="154"/>
      <c r="B712" s="126"/>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c r="AD712" s="122"/>
    </row>
    <row r="713">
      <c r="A713" s="154"/>
      <c r="B713" s="126"/>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c r="AD713" s="122"/>
    </row>
    <row r="714">
      <c r="A714" s="154"/>
      <c r="B714" s="126"/>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c r="AD714" s="122"/>
    </row>
    <row r="715">
      <c r="A715" s="154"/>
      <c r="B715" s="126"/>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c r="AD715" s="122"/>
    </row>
    <row r="716">
      <c r="A716" s="154"/>
      <c r="B716" s="126"/>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c r="AD716" s="122"/>
    </row>
    <row r="717">
      <c r="A717" s="154"/>
      <c r="B717" s="126"/>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c r="AD717" s="122"/>
    </row>
    <row r="718">
      <c r="A718" s="154"/>
      <c r="B718" s="126"/>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c r="AD718" s="122"/>
    </row>
    <row r="719">
      <c r="A719" s="154"/>
      <c r="B719" s="126"/>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c r="AD719" s="122"/>
    </row>
    <row r="720">
      <c r="A720" s="154"/>
      <c r="B720" s="126"/>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c r="AD720" s="122"/>
    </row>
    <row r="721">
      <c r="A721" s="154"/>
      <c r="B721" s="126"/>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c r="AD721" s="122"/>
    </row>
    <row r="722">
      <c r="A722" s="154"/>
      <c r="B722" s="126"/>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c r="AD722" s="122"/>
    </row>
    <row r="723">
      <c r="A723" s="154"/>
      <c r="B723" s="126"/>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c r="AD723" s="122"/>
    </row>
    <row r="724">
      <c r="A724" s="154"/>
      <c r="B724" s="126"/>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c r="AD724" s="122"/>
    </row>
    <row r="725">
      <c r="A725" s="154"/>
      <c r="B725" s="126"/>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c r="AD725" s="122"/>
    </row>
    <row r="726">
      <c r="A726" s="154"/>
      <c r="B726" s="126"/>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c r="AD726" s="122"/>
    </row>
    <row r="727">
      <c r="A727" s="154"/>
      <c r="B727" s="126"/>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c r="AD727" s="122"/>
    </row>
    <row r="728">
      <c r="A728" s="154"/>
      <c r="B728" s="126"/>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c r="AD728" s="122"/>
    </row>
    <row r="729">
      <c r="A729" s="154"/>
      <c r="B729" s="126"/>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c r="AD729" s="122"/>
    </row>
    <row r="730">
      <c r="A730" s="154"/>
      <c r="B730" s="126"/>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c r="AD730" s="122"/>
    </row>
    <row r="731">
      <c r="A731" s="154"/>
      <c r="B731" s="126"/>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c r="AD731" s="122"/>
    </row>
    <row r="732">
      <c r="A732" s="154"/>
      <c r="B732" s="126"/>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c r="AD732" s="122"/>
    </row>
    <row r="733">
      <c r="A733" s="154"/>
      <c r="B733" s="126"/>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c r="AD733" s="122"/>
    </row>
    <row r="734">
      <c r="A734" s="154"/>
      <c r="B734" s="126"/>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c r="AD734" s="122"/>
    </row>
    <row r="735">
      <c r="A735" s="154"/>
      <c r="B735" s="126"/>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c r="AD735" s="122"/>
    </row>
    <row r="736">
      <c r="A736" s="154"/>
      <c r="B736" s="126"/>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c r="AD736" s="122"/>
    </row>
    <row r="737">
      <c r="A737" s="154"/>
      <c r="B737" s="126"/>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c r="AD737" s="122"/>
    </row>
    <row r="738">
      <c r="A738" s="154"/>
      <c r="B738" s="126"/>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c r="AD738" s="122"/>
    </row>
    <row r="739">
      <c r="A739" s="154"/>
      <c r="B739" s="126"/>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c r="AD739" s="122"/>
    </row>
    <row r="740">
      <c r="A740" s="154"/>
      <c r="B740" s="126"/>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c r="AD740" s="122"/>
    </row>
    <row r="741">
      <c r="A741" s="154"/>
      <c r="B741" s="126"/>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c r="AD741" s="122"/>
    </row>
    <row r="742">
      <c r="A742" s="154"/>
      <c r="B742" s="126"/>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c r="AD742" s="122"/>
    </row>
    <row r="743">
      <c r="A743" s="154"/>
      <c r="B743" s="126"/>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c r="AD743" s="122"/>
    </row>
    <row r="744">
      <c r="A744" s="154"/>
      <c r="B744" s="126"/>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c r="AD744" s="122"/>
    </row>
    <row r="745">
      <c r="A745" s="154"/>
      <c r="B745" s="126"/>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c r="AD745" s="122"/>
    </row>
    <row r="746">
      <c r="A746" s="154"/>
      <c r="B746" s="126"/>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c r="AD746" s="122"/>
    </row>
    <row r="747">
      <c r="A747" s="154"/>
      <c r="B747" s="126"/>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c r="AD747" s="122"/>
    </row>
    <row r="748">
      <c r="A748" s="154"/>
      <c r="B748" s="126"/>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c r="AD748" s="122"/>
    </row>
    <row r="749">
      <c r="A749" s="154"/>
      <c r="B749" s="126"/>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c r="AD749" s="122"/>
    </row>
    <row r="750">
      <c r="A750" s="154"/>
      <c r="B750" s="126"/>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c r="AD750" s="122"/>
    </row>
    <row r="751">
      <c r="A751" s="154"/>
      <c r="B751" s="126"/>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c r="AD751" s="122"/>
    </row>
    <row r="752">
      <c r="A752" s="154"/>
      <c r="B752" s="126"/>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2"/>
    </row>
    <row r="753">
      <c r="A753" s="154"/>
      <c r="B753" s="126"/>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c r="AD753" s="122"/>
    </row>
    <row r="754">
      <c r="A754" s="154"/>
      <c r="B754" s="126"/>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c r="AD754" s="122"/>
    </row>
    <row r="755">
      <c r="A755" s="154"/>
      <c r="B755" s="126"/>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c r="AD755" s="122"/>
    </row>
    <row r="756">
      <c r="A756" s="154"/>
      <c r="B756" s="126"/>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c r="AD756" s="122"/>
    </row>
    <row r="757">
      <c r="A757" s="154"/>
      <c r="B757" s="126"/>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c r="AD757" s="122"/>
    </row>
    <row r="758">
      <c r="A758" s="154"/>
      <c r="B758" s="126"/>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c r="AD758" s="122"/>
    </row>
    <row r="759">
      <c r="A759" s="154"/>
      <c r="B759" s="126"/>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c r="AD759" s="122"/>
    </row>
    <row r="760">
      <c r="A760" s="154"/>
      <c r="B760" s="126"/>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c r="AD760" s="122"/>
    </row>
    <row r="761">
      <c r="A761" s="154"/>
      <c r="B761" s="126"/>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c r="AD761" s="122"/>
    </row>
    <row r="762">
      <c r="A762" s="154"/>
      <c r="B762" s="126"/>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c r="AD762" s="122"/>
    </row>
    <row r="763">
      <c r="A763" s="154"/>
      <c r="B763" s="126"/>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c r="AD763" s="122"/>
    </row>
    <row r="764">
      <c r="A764" s="154"/>
      <c r="B764" s="126"/>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c r="AD764" s="122"/>
    </row>
    <row r="765">
      <c r="A765" s="154"/>
      <c r="B765" s="126"/>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c r="AD765" s="122"/>
    </row>
    <row r="766">
      <c r="A766" s="154"/>
      <c r="B766" s="126"/>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c r="AD766" s="122"/>
    </row>
    <row r="767">
      <c r="A767" s="154"/>
      <c r="B767" s="126"/>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c r="AD767" s="122"/>
    </row>
    <row r="768">
      <c r="A768" s="154"/>
      <c r="B768" s="126"/>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c r="AD768" s="122"/>
    </row>
    <row r="769">
      <c r="A769" s="154"/>
      <c r="B769" s="126"/>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c r="AD769" s="122"/>
    </row>
    <row r="770">
      <c r="A770" s="154"/>
      <c r="B770" s="126"/>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c r="AD770" s="122"/>
    </row>
    <row r="771">
      <c r="A771" s="154"/>
      <c r="B771" s="126"/>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c r="AD771" s="122"/>
    </row>
    <row r="772">
      <c r="A772" s="154"/>
      <c r="B772" s="126"/>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c r="AD772" s="122"/>
    </row>
    <row r="773">
      <c r="A773" s="154"/>
      <c r="B773" s="126"/>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c r="AD773" s="122"/>
    </row>
    <row r="774">
      <c r="A774" s="154"/>
      <c r="B774" s="126"/>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c r="AD774" s="122"/>
    </row>
    <row r="775">
      <c r="A775" s="154"/>
      <c r="B775" s="126"/>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c r="AD775" s="122"/>
    </row>
    <row r="776">
      <c r="A776" s="154"/>
      <c r="B776" s="126"/>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c r="AD776" s="122"/>
    </row>
    <row r="777">
      <c r="A777" s="154"/>
      <c r="B777" s="126"/>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c r="AD777" s="122"/>
    </row>
    <row r="778">
      <c r="A778" s="154"/>
      <c r="B778" s="126"/>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c r="AD778" s="122"/>
    </row>
    <row r="779">
      <c r="A779" s="154"/>
      <c r="B779" s="126"/>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c r="AD779" s="122"/>
    </row>
    <row r="780">
      <c r="A780" s="154"/>
      <c r="B780" s="126"/>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c r="AD780" s="122"/>
    </row>
    <row r="781">
      <c r="A781" s="154"/>
      <c r="B781" s="126"/>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c r="AD781" s="122"/>
    </row>
    <row r="782">
      <c r="A782" s="154"/>
      <c r="B782" s="126"/>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c r="AD782" s="122"/>
    </row>
    <row r="783">
      <c r="A783" s="154"/>
      <c r="B783" s="126"/>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c r="AD783" s="122"/>
    </row>
    <row r="784">
      <c r="A784" s="154"/>
      <c r="B784" s="126"/>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c r="AD784" s="122"/>
    </row>
    <row r="785">
      <c r="A785" s="154"/>
      <c r="B785" s="126"/>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c r="AD785" s="122"/>
    </row>
    <row r="786">
      <c r="A786" s="154"/>
      <c r="B786" s="126"/>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c r="AD786" s="122"/>
    </row>
    <row r="787">
      <c r="A787" s="154"/>
      <c r="B787" s="126"/>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c r="AD787" s="122"/>
    </row>
    <row r="788">
      <c r="A788" s="154"/>
      <c r="B788" s="126"/>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c r="AD788" s="122"/>
    </row>
    <row r="789">
      <c r="A789" s="154"/>
      <c r="B789" s="126"/>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c r="AD789" s="122"/>
    </row>
    <row r="790">
      <c r="A790" s="154"/>
      <c r="B790" s="126"/>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c r="AD790" s="122"/>
    </row>
    <row r="791">
      <c r="A791" s="154"/>
      <c r="B791" s="126"/>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c r="AD791" s="122"/>
    </row>
    <row r="792">
      <c r="A792" s="154"/>
      <c r="B792" s="126"/>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c r="AD792" s="122"/>
    </row>
    <row r="793">
      <c r="A793" s="154"/>
      <c r="B793" s="126"/>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c r="AD793" s="122"/>
    </row>
    <row r="794">
      <c r="A794" s="154"/>
      <c r="B794" s="126"/>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c r="AD794" s="122"/>
    </row>
    <row r="795">
      <c r="A795" s="154"/>
      <c r="B795" s="126"/>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c r="AD795" s="122"/>
    </row>
    <row r="796">
      <c r="A796" s="154"/>
      <c r="B796" s="126"/>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c r="AD796" s="122"/>
    </row>
    <row r="797">
      <c r="A797" s="154"/>
      <c r="B797" s="126"/>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c r="AD797" s="122"/>
    </row>
    <row r="798">
      <c r="A798" s="154"/>
      <c r="B798" s="126"/>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c r="AD798" s="122"/>
    </row>
    <row r="799">
      <c r="A799" s="154"/>
      <c r="B799" s="126"/>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c r="AD799" s="122"/>
    </row>
    <row r="800">
      <c r="A800" s="154"/>
      <c r="B800" s="126"/>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c r="AD800" s="122"/>
    </row>
    <row r="801">
      <c r="A801" s="154"/>
      <c r="B801" s="126"/>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c r="AD801" s="122"/>
    </row>
    <row r="802">
      <c r="A802" s="154"/>
      <c r="B802" s="126"/>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c r="AD802" s="122"/>
    </row>
    <row r="803">
      <c r="A803" s="154"/>
      <c r="B803" s="126"/>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c r="AD803" s="122"/>
    </row>
    <row r="804">
      <c r="A804" s="154"/>
      <c r="B804" s="126"/>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c r="AD804" s="122"/>
    </row>
    <row r="805">
      <c r="A805" s="154"/>
      <c r="B805" s="126"/>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c r="AD805" s="122"/>
    </row>
    <row r="806">
      <c r="A806" s="154"/>
      <c r="B806" s="126"/>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c r="AD806" s="122"/>
    </row>
    <row r="807">
      <c r="A807" s="154"/>
      <c r="B807" s="126"/>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c r="AD807" s="122"/>
    </row>
    <row r="808">
      <c r="A808" s="154"/>
      <c r="B808" s="126"/>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c r="AD808" s="122"/>
    </row>
    <row r="809">
      <c r="A809" s="154"/>
      <c r="B809" s="126"/>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c r="AD809" s="122"/>
    </row>
    <row r="810">
      <c r="A810" s="154"/>
      <c r="B810" s="126"/>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c r="AD810" s="122"/>
    </row>
    <row r="811">
      <c r="A811" s="154"/>
      <c r="B811" s="126"/>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c r="AD811" s="122"/>
    </row>
    <row r="812">
      <c r="A812" s="154"/>
      <c r="B812" s="126"/>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c r="AD812" s="122"/>
    </row>
    <row r="813">
      <c r="A813" s="154"/>
      <c r="B813" s="126"/>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c r="AD813" s="122"/>
    </row>
    <row r="814">
      <c r="A814" s="154"/>
      <c r="B814" s="126"/>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c r="AD814" s="122"/>
    </row>
    <row r="815">
      <c r="A815" s="154"/>
      <c r="B815" s="126"/>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c r="AD815" s="122"/>
    </row>
    <row r="816">
      <c r="A816" s="154"/>
      <c r="B816" s="126"/>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c r="AD816" s="122"/>
    </row>
    <row r="817">
      <c r="A817" s="154"/>
      <c r="B817" s="126"/>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c r="AD817" s="122"/>
    </row>
    <row r="818">
      <c r="A818" s="154"/>
      <c r="B818" s="126"/>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c r="AD818" s="122"/>
    </row>
    <row r="819">
      <c r="A819" s="154"/>
      <c r="B819" s="126"/>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c r="AD819" s="122"/>
    </row>
    <row r="820">
      <c r="A820" s="154"/>
      <c r="B820" s="126"/>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c r="AD820" s="122"/>
    </row>
    <row r="821">
      <c r="A821" s="154"/>
      <c r="B821" s="126"/>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c r="AD821" s="122"/>
    </row>
    <row r="822">
      <c r="A822" s="154"/>
      <c r="B822" s="126"/>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c r="AD822" s="122"/>
    </row>
    <row r="823">
      <c r="A823" s="154"/>
      <c r="B823" s="126"/>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c r="AD823" s="122"/>
    </row>
    <row r="824">
      <c r="A824" s="154"/>
      <c r="B824" s="126"/>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c r="AD824" s="122"/>
    </row>
    <row r="825">
      <c r="A825" s="154"/>
      <c r="B825" s="126"/>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c r="AD825" s="122"/>
    </row>
    <row r="826">
      <c r="A826" s="154"/>
      <c r="B826" s="126"/>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c r="AD826" s="122"/>
    </row>
    <row r="827">
      <c r="A827" s="154"/>
      <c r="B827" s="126"/>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c r="AD827" s="122"/>
    </row>
    <row r="828">
      <c r="A828" s="154"/>
      <c r="B828" s="126"/>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c r="AD828" s="122"/>
    </row>
    <row r="829">
      <c r="A829" s="154"/>
      <c r="B829" s="126"/>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c r="AD829" s="122"/>
    </row>
    <row r="830">
      <c r="A830" s="154"/>
      <c r="B830" s="126"/>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c r="AD830" s="122"/>
    </row>
    <row r="831">
      <c r="A831" s="154"/>
      <c r="B831" s="126"/>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c r="AD831" s="122"/>
    </row>
    <row r="832">
      <c r="A832" s="154"/>
      <c r="B832" s="126"/>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c r="AD832" s="122"/>
    </row>
    <row r="833">
      <c r="A833" s="154"/>
      <c r="B833" s="126"/>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c r="AD833" s="122"/>
    </row>
    <row r="834">
      <c r="A834" s="154"/>
      <c r="B834" s="126"/>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c r="AD834" s="122"/>
    </row>
    <row r="835">
      <c r="A835" s="154"/>
      <c r="B835" s="126"/>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c r="AD835" s="122"/>
    </row>
    <row r="836">
      <c r="A836" s="154"/>
      <c r="B836" s="126"/>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c r="AD836" s="122"/>
    </row>
    <row r="837">
      <c r="A837" s="154"/>
      <c r="B837" s="126"/>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c r="AD837" s="122"/>
    </row>
    <row r="838">
      <c r="A838" s="154"/>
      <c r="B838" s="126"/>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c r="AD838" s="122"/>
    </row>
    <row r="839">
      <c r="A839" s="154"/>
      <c r="B839" s="126"/>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c r="AD839" s="122"/>
    </row>
    <row r="840">
      <c r="A840" s="154"/>
      <c r="B840" s="126"/>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c r="AD840" s="122"/>
    </row>
    <row r="841">
      <c r="A841" s="154"/>
      <c r="B841" s="126"/>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c r="AD841" s="122"/>
    </row>
    <row r="842">
      <c r="A842" s="154"/>
      <c r="B842" s="126"/>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c r="AD842" s="122"/>
    </row>
    <row r="843">
      <c r="A843" s="154"/>
      <c r="B843" s="126"/>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c r="AD843" s="122"/>
    </row>
    <row r="844">
      <c r="A844" s="154"/>
      <c r="B844" s="126"/>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c r="AD844" s="122"/>
    </row>
    <row r="845">
      <c r="A845" s="154"/>
      <c r="B845" s="126"/>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c r="AD845" s="122"/>
    </row>
    <row r="846">
      <c r="A846" s="154"/>
      <c r="B846" s="126"/>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c r="AD846" s="122"/>
    </row>
    <row r="847">
      <c r="A847" s="154"/>
      <c r="B847" s="126"/>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c r="AD847" s="122"/>
    </row>
    <row r="848">
      <c r="A848" s="154"/>
      <c r="B848" s="126"/>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c r="AD848" s="122"/>
    </row>
    <row r="849">
      <c r="A849" s="154"/>
      <c r="B849" s="126"/>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c r="AD849" s="122"/>
    </row>
    <row r="850">
      <c r="A850" s="154"/>
      <c r="B850" s="126"/>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c r="AD850" s="122"/>
    </row>
    <row r="851">
      <c r="A851" s="154"/>
      <c r="B851" s="126"/>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c r="AD851" s="122"/>
    </row>
    <row r="852">
      <c r="A852" s="154"/>
      <c r="B852" s="126"/>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c r="AD852" s="122"/>
    </row>
    <row r="853">
      <c r="A853" s="154"/>
      <c r="B853" s="126"/>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c r="AD853" s="122"/>
    </row>
    <row r="854">
      <c r="A854" s="154"/>
      <c r="B854" s="126"/>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c r="AD854" s="122"/>
    </row>
    <row r="855">
      <c r="A855" s="154"/>
      <c r="B855" s="126"/>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c r="AD855" s="122"/>
    </row>
    <row r="856">
      <c r="A856" s="154"/>
      <c r="B856" s="126"/>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c r="AD856" s="122"/>
    </row>
    <row r="857">
      <c r="A857" s="154"/>
      <c r="B857" s="126"/>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c r="AD857" s="122"/>
    </row>
    <row r="858">
      <c r="A858" s="154"/>
      <c r="B858" s="126"/>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c r="AD858" s="122"/>
    </row>
    <row r="859">
      <c r="A859" s="154"/>
      <c r="B859" s="126"/>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c r="AD859" s="122"/>
    </row>
    <row r="860">
      <c r="A860" s="154"/>
      <c r="B860" s="126"/>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c r="AD860" s="122"/>
    </row>
    <row r="861">
      <c r="A861" s="154"/>
      <c r="B861" s="126"/>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c r="AD861" s="122"/>
    </row>
    <row r="862">
      <c r="A862" s="154"/>
      <c r="B862" s="126"/>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c r="AD862" s="122"/>
    </row>
    <row r="863">
      <c r="A863" s="154"/>
      <c r="B863" s="126"/>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c r="AD863" s="122"/>
    </row>
    <row r="864">
      <c r="A864" s="154"/>
      <c r="B864" s="126"/>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c r="AD864" s="122"/>
    </row>
    <row r="865">
      <c r="A865" s="154"/>
      <c r="B865" s="126"/>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c r="AD865" s="122"/>
    </row>
    <row r="866">
      <c r="A866" s="154"/>
      <c r="B866" s="126"/>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c r="AD866" s="122"/>
    </row>
    <row r="867">
      <c r="A867" s="154"/>
      <c r="B867" s="126"/>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c r="AD867" s="122"/>
    </row>
    <row r="868">
      <c r="A868" s="154"/>
      <c r="B868" s="126"/>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c r="AD868" s="122"/>
    </row>
    <row r="869">
      <c r="A869" s="154"/>
      <c r="B869" s="126"/>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c r="AD869" s="122"/>
    </row>
    <row r="870">
      <c r="A870" s="154"/>
      <c r="B870" s="126"/>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c r="AD870" s="122"/>
    </row>
    <row r="871">
      <c r="A871" s="154"/>
      <c r="B871" s="126"/>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c r="AD871" s="122"/>
    </row>
    <row r="872">
      <c r="A872" s="154"/>
      <c r="B872" s="126"/>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c r="AD872" s="122"/>
    </row>
    <row r="873">
      <c r="A873" s="154"/>
      <c r="B873" s="126"/>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c r="AD873" s="122"/>
    </row>
    <row r="874">
      <c r="A874" s="154"/>
      <c r="B874" s="126"/>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c r="AD874" s="122"/>
    </row>
    <row r="875">
      <c r="A875" s="154"/>
      <c r="B875" s="126"/>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c r="AD875" s="122"/>
    </row>
    <row r="876">
      <c r="A876" s="154"/>
      <c r="B876" s="126"/>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c r="AD876" s="122"/>
    </row>
    <row r="877">
      <c r="A877" s="154"/>
      <c r="B877" s="126"/>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c r="AD877" s="122"/>
    </row>
    <row r="878">
      <c r="A878" s="154"/>
      <c r="B878" s="126"/>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c r="AD878" s="122"/>
    </row>
    <row r="879">
      <c r="A879" s="154"/>
      <c r="B879" s="126"/>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c r="AD879" s="122"/>
    </row>
    <row r="880">
      <c r="A880" s="154"/>
      <c r="B880" s="126"/>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c r="AD880" s="122"/>
    </row>
    <row r="881">
      <c r="A881" s="154"/>
      <c r="B881" s="126"/>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c r="AD881" s="122"/>
    </row>
    <row r="882">
      <c r="A882" s="154"/>
      <c r="B882" s="126"/>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c r="AD882" s="122"/>
    </row>
    <row r="883">
      <c r="A883" s="154"/>
      <c r="B883" s="126"/>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c r="AD883" s="122"/>
    </row>
    <row r="884">
      <c r="A884" s="154"/>
      <c r="B884" s="126"/>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c r="AD884" s="122"/>
    </row>
    <row r="885">
      <c r="A885" s="154"/>
      <c r="B885" s="126"/>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c r="AD885" s="122"/>
    </row>
    <row r="886">
      <c r="A886" s="154"/>
      <c r="B886" s="126"/>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c r="AD886" s="122"/>
    </row>
    <row r="887">
      <c r="A887" s="154"/>
      <c r="B887" s="126"/>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c r="AD887" s="122"/>
    </row>
    <row r="888">
      <c r="A888" s="154"/>
      <c r="B888" s="126"/>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c r="AD888" s="122"/>
    </row>
    <row r="889">
      <c r="A889" s="154"/>
      <c r="B889" s="126"/>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c r="AD889" s="122"/>
    </row>
    <row r="890">
      <c r="A890" s="154"/>
      <c r="B890" s="126"/>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c r="AD890" s="122"/>
    </row>
    <row r="891">
      <c r="A891" s="154"/>
      <c r="B891" s="126"/>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c r="AD891" s="122"/>
    </row>
    <row r="892">
      <c r="A892" s="154"/>
      <c r="B892" s="126"/>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c r="AD892" s="122"/>
    </row>
    <row r="893">
      <c r="A893" s="154"/>
      <c r="B893" s="126"/>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c r="AD893" s="122"/>
    </row>
    <row r="894">
      <c r="A894" s="154"/>
      <c r="B894" s="126"/>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c r="AD894" s="122"/>
    </row>
    <row r="895">
      <c r="A895" s="154"/>
      <c r="B895" s="126"/>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c r="AD895" s="122"/>
    </row>
    <row r="896">
      <c r="A896" s="154"/>
      <c r="B896" s="126"/>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c r="AD896" s="122"/>
    </row>
    <row r="897">
      <c r="A897" s="154"/>
      <c r="B897" s="126"/>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c r="AD897" s="122"/>
    </row>
    <row r="898">
      <c r="A898" s="154"/>
      <c r="B898" s="126"/>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c r="AD898" s="122"/>
    </row>
    <row r="899">
      <c r="A899" s="154"/>
      <c r="B899" s="126"/>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c r="AD899" s="122"/>
    </row>
    <row r="900">
      <c r="A900" s="154"/>
      <c r="B900" s="126"/>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c r="AD900" s="122"/>
    </row>
    <row r="901">
      <c r="A901" s="154"/>
      <c r="B901" s="126"/>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c r="AD901" s="122"/>
    </row>
    <row r="902">
      <c r="A902" s="154"/>
      <c r="B902" s="126"/>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c r="AD902" s="122"/>
    </row>
    <row r="903">
      <c r="A903" s="154"/>
      <c r="B903" s="126"/>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c r="AD903" s="122"/>
    </row>
    <row r="904">
      <c r="A904" s="154"/>
      <c r="B904" s="126"/>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c r="AD904" s="122"/>
    </row>
    <row r="905">
      <c r="A905" s="154"/>
      <c r="B905" s="126"/>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c r="AD905" s="122"/>
    </row>
    <row r="906">
      <c r="A906" s="154"/>
      <c r="B906" s="126"/>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c r="AD906" s="122"/>
    </row>
    <row r="907">
      <c r="A907" s="154"/>
      <c r="B907" s="126"/>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c r="AD907" s="122"/>
    </row>
    <row r="908">
      <c r="A908" s="154"/>
      <c r="B908" s="126"/>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c r="AD908" s="122"/>
    </row>
    <row r="909">
      <c r="A909" s="154"/>
      <c r="B909" s="126"/>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c r="AD909" s="122"/>
    </row>
    <row r="910">
      <c r="A910" s="154"/>
      <c r="B910" s="126"/>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row>
    <row r="911">
      <c r="A911" s="154"/>
      <c r="B911" s="126"/>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row>
    <row r="912">
      <c r="A912" s="154"/>
      <c r="B912" s="126"/>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c r="AD912" s="122"/>
    </row>
    <row r="913">
      <c r="A913" s="154"/>
      <c r="B913" s="126"/>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c r="AD913" s="122"/>
    </row>
    <row r="914">
      <c r="A914" s="154"/>
      <c r="B914" s="126"/>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c r="AD914" s="122"/>
    </row>
    <row r="915">
      <c r="A915" s="154"/>
      <c r="B915" s="126"/>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c r="AD915" s="122"/>
    </row>
    <row r="916">
      <c r="A916" s="154"/>
      <c r="B916" s="126"/>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c r="AD916" s="122"/>
    </row>
    <row r="917">
      <c r="A917" s="154"/>
      <c r="B917" s="126"/>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c r="AD917" s="122"/>
    </row>
    <row r="918">
      <c r="A918" s="154"/>
      <c r="B918" s="126"/>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c r="AD918" s="122"/>
    </row>
    <row r="919">
      <c r="A919" s="154"/>
      <c r="B919" s="126"/>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c r="AD919" s="122"/>
    </row>
    <row r="920">
      <c r="A920" s="154"/>
      <c r="B920" s="126"/>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c r="AD920" s="122"/>
    </row>
    <row r="921">
      <c r="A921" s="154"/>
      <c r="B921" s="126"/>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c r="AD921" s="122"/>
    </row>
    <row r="922">
      <c r="A922" s="154"/>
      <c r="B922" s="126"/>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c r="AD922" s="122"/>
    </row>
    <row r="923">
      <c r="A923" s="154"/>
      <c r="B923" s="126"/>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c r="AD923" s="122"/>
    </row>
    <row r="924">
      <c r="A924" s="154"/>
      <c r="B924" s="126"/>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c r="AD924" s="122"/>
    </row>
    <row r="925">
      <c r="A925" s="154"/>
      <c r="B925" s="126"/>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c r="AD925" s="122"/>
    </row>
    <row r="926">
      <c r="A926" s="154"/>
      <c r="B926" s="126"/>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c r="AD926" s="122"/>
    </row>
    <row r="927">
      <c r="A927" s="154"/>
      <c r="B927" s="126"/>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c r="AD927" s="122"/>
    </row>
    <row r="928">
      <c r="A928" s="154"/>
      <c r="B928" s="126"/>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c r="AD928" s="122"/>
    </row>
    <row r="929">
      <c r="A929" s="154"/>
      <c r="B929" s="126"/>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c r="AD929" s="122"/>
    </row>
    <row r="930">
      <c r="A930" s="154"/>
      <c r="B930" s="126"/>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c r="AD930" s="122"/>
    </row>
    <row r="931">
      <c r="A931" s="154"/>
      <c r="B931" s="126"/>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c r="AD931" s="122"/>
    </row>
    <row r="932">
      <c r="A932" s="154"/>
      <c r="B932" s="126"/>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c r="AD932" s="122"/>
    </row>
    <row r="933">
      <c r="A933" s="154"/>
      <c r="B933" s="126"/>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c r="AD933" s="122"/>
    </row>
    <row r="934">
      <c r="A934" s="154"/>
      <c r="B934" s="126"/>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c r="AD934" s="122"/>
    </row>
    <row r="935">
      <c r="A935" s="154"/>
      <c r="B935" s="126"/>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c r="AD935" s="122"/>
    </row>
    <row r="936">
      <c r="A936" s="154"/>
      <c r="B936" s="126"/>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c r="AD936" s="122"/>
    </row>
    <row r="937">
      <c r="A937" s="154"/>
      <c r="B937" s="126"/>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c r="AD937" s="122"/>
    </row>
    <row r="938">
      <c r="A938" s="154"/>
      <c r="B938" s="126"/>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c r="AD938" s="122"/>
    </row>
    <row r="939">
      <c r="A939" s="154"/>
      <c r="B939" s="126"/>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c r="AD939" s="122"/>
    </row>
    <row r="940">
      <c r="A940" s="154"/>
      <c r="B940" s="126"/>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c r="AD940" s="122"/>
    </row>
    <row r="941">
      <c r="A941" s="154"/>
      <c r="B941" s="126"/>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c r="AD941" s="122"/>
    </row>
    <row r="942">
      <c r="A942" s="154"/>
      <c r="B942" s="126"/>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c r="AD942" s="122"/>
    </row>
    <row r="943">
      <c r="A943" s="154"/>
      <c r="B943" s="126"/>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c r="AD943" s="122"/>
    </row>
    <row r="944">
      <c r="A944" s="154"/>
      <c r="B944" s="126"/>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c r="AD944" s="122"/>
    </row>
    <row r="945">
      <c r="A945" s="154"/>
      <c r="B945" s="126"/>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c r="AD945" s="122"/>
    </row>
    <row r="946">
      <c r="A946" s="154"/>
      <c r="B946" s="126"/>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c r="AD946" s="122"/>
    </row>
    <row r="947">
      <c r="A947" s="154"/>
      <c r="B947" s="126"/>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c r="AD947" s="122"/>
    </row>
    <row r="948">
      <c r="A948" s="154"/>
      <c r="B948" s="126"/>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c r="AD948" s="122"/>
    </row>
    <row r="949">
      <c r="A949" s="154"/>
      <c r="B949" s="126"/>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c r="AD949" s="122"/>
    </row>
    <row r="950">
      <c r="A950" s="154"/>
      <c r="B950" s="126"/>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c r="AD950" s="122"/>
    </row>
    <row r="951">
      <c r="A951" s="154"/>
      <c r="B951" s="126"/>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c r="AD951" s="122"/>
    </row>
    <row r="952">
      <c r="A952" s="154"/>
      <c r="B952" s="126"/>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c r="AD952" s="122"/>
    </row>
    <row r="953">
      <c r="A953" s="154"/>
      <c r="B953" s="126"/>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c r="AD953" s="122"/>
    </row>
    <row r="954">
      <c r="A954" s="154"/>
      <c r="B954" s="126"/>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c r="AD954" s="122"/>
    </row>
    <row r="955">
      <c r="A955" s="154"/>
      <c r="B955" s="126"/>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c r="AD955" s="122"/>
    </row>
    <row r="956">
      <c r="A956" s="154"/>
      <c r="B956" s="126"/>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c r="AD956" s="122"/>
    </row>
    <row r="957">
      <c r="A957" s="154"/>
      <c r="B957" s="126"/>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c r="AD957" s="122"/>
    </row>
    <row r="958">
      <c r="A958" s="154"/>
      <c r="B958" s="126"/>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c r="AD958" s="122"/>
    </row>
    <row r="959">
      <c r="A959" s="154"/>
      <c r="B959" s="126"/>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c r="AD959" s="122"/>
    </row>
    <row r="960">
      <c r="A960" s="154"/>
      <c r="B960" s="126"/>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c r="AD960" s="122"/>
    </row>
    <row r="961">
      <c r="A961" s="154"/>
      <c r="B961" s="126"/>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c r="AD961" s="122"/>
    </row>
    <row r="962">
      <c r="A962" s="154"/>
      <c r="B962" s="126"/>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2"/>
      <c r="AD962" s="122"/>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0"/>
    <col customWidth="1" min="2" max="2" width="36.5"/>
    <col customWidth="1" min="3" max="21" width="7.63"/>
    <col customWidth="1" min="22" max="22" width="8.88"/>
    <col customWidth="1" min="23" max="27" width="7.63"/>
    <col customWidth="1" min="28" max="28" width="15.88"/>
    <col customWidth="1" min="29" max="29" width="7.63"/>
  </cols>
  <sheetData>
    <row r="1">
      <c r="A1" s="150"/>
      <c r="B1" s="30" t="s">
        <v>58</v>
      </c>
      <c r="C1" s="30" t="s">
        <v>5</v>
      </c>
      <c r="D1" s="31"/>
      <c r="E1" s="31"/>
      <c r="F1" s="30"/>
      <c r="G1" s="30"/>
      <c r="H1" s="30"/>
      <c r="I1" s="30"/>
      <c r="J1" s="31"/>
      <c r="K1" s="31"/>
      <c r="L1" s="31"/>
      <c r="M1" s="30" t="s">
        <v>6</v>
      </c>
      <c r="N1" s="33"/>
      <c r="O1" s="33"/>
      <c r="P1" s="33"/>
      <c r="Q1" s="31"/>
      <c r="R1" s="30" t="s">
        <v>7</v>
      </c>
      <c r="S1" s="110"/>
      <c r="T1" s="31"/>
      <c r="U1" s="30"/>
      <c r="V1" s="31"/>
      <c r="W1" s="30" t="s">
        <v>8</v>
      </c>
      <c r="X1" s="111"/>
      <c r="Y1" s="31"/>
      <c r="Z1" s="31"/>
      <c r="AA1" s="112" t="s">
        <v>59</v>
      </c>
      <c r="AB1" s="113"/>
      <c r="AC1" s="113"/>
      <c r="AD1" s="113"/>
    </row>
    <row r="2">
      <c r="A2" s="150"/>
      <c r="B2" s="114" t="s">
        <v>30</v>
      </c>
      <c r="C2" s="115" t="s">
        <v>11</v>
      </c>
      <c r="D2" s="115" t="s">
        <v>12</v>
      </c>
      <c r="E2" s="114" t="s">
        <v>13</v>
      </c>
      <c r="F2" s="114" t="s">
        <v>14</v>
      </c>
      <c r="G2" s="114" t="s">
        <v>15</v>
      </c>
      <c r="H2" s="114" t="s">
        <v>60</v>
      </c>
      <c r="I2" s="114" t="s">
        <v>17</v>
      </c>
      <c r="J2" s="115" t="s">
        <v>18</v>
      </c>
      <c r="K2" s="114" t="s">
        <v>19</v>
      </c>
      <c r="L2" s="114" t="s">
        <v>61</v>
      </c>
      <c r="M2" s="114" t="s">
        <v>62</v>
      </c>
      <c r="N2" s="114" t="s">
        <v>63</v>
      </c>
      <c r="O2" s="114" t="s">
        <v>64</v>
      </c>
      <c r="P2" s="114" t="s">
        <v>65</v>
      </c>
      <c r="Q2" s="114" t="s">
        <v>66</v>
      </c>
      <c r="R2" s="114" t="s">
        <v>67</v>
      </c>
      <c r="S2" s="114" t="s">
        <v>68</v>
      </c>
      <c r="T2" s="114" t="s">
        <v>27</v>
      </c>
      <c r="U2" s="115" t="s">
        <v>28</v>
      </c>
      <c r="V2" s="114" t="s">
        <v>69</v>
      </c>
      <c r="W2" s="114" t="s">
        <v>67</v>
      </c>
      <c r="X2" s="114" t="s">
        <v>29</v>
      </c>
      <c r="Y2" s="114" t="s">
        <v>19</v>
      </c>
      <c r="Z2" s="114" t="s">
        <v>70</v>
      </c>
      <c r="AA2" s="116" t="s">
        <v>30</v>
      </c>
      <c r="AB2" s="113"/>
      <c r="AC2" s="113"/>
      <c r="AD2" s="113"/>
    </row>
    <row r="3">
      <c r="A3" s="136">
        <v>44282.0</v>
      </c>
      <c r="B3" s="127" t="s">
        <v>205</v>
      </c>
      <c r="C3" s="128"/>
      <c r="D3" s="128"/>
      <c r="E3" s="128"/>
      <c r="F3" s="128"/>
      <c r="G3" s="128"/>
      <c r="H3" s="128"/>
      <c r="I3" s="128"/>
      <c r="J3" s="128"/>
      <c r="K3" s="128"/>
      <c r="L3" s="128"/>
      <c r="M3" s="127" t="s">
        <v>72</v>
      </c>
      <c r="N3" s="127">
        <v>148.0</v>
      </c>
      <c r="O3" s="128"/>
      <c r="P3" s="128"/>
      <c r="Q3" s="128"/>
      <c r="R3" s="128"/>
      <c r="S3" s="128"/>
      <c r="T3" s="128"/>
      <c r="U3" s="127">
        <v>148.0</v>
      </c>
      <c r="V3" s="129"/>
      <c r="W3" s="128"/>
      <c r="X3" s="128"/>
      <c r="Y3" s="128"/>
      <c r="Z3" s="129"/>
      <c r="AA3" s="120">
        <f t="shared" ref="AA3:AA22" si="1">sum(C3:L3,N3:Q3)-sum(S3:Z3)</f>
        <v>0</v>
      </c>
      <c r="AB3" s="121"/>
      <c r="AC3" s="111"/>
      <c r="AD3" s="111"/>
    </row>
    <row r="4">
      <c r="A4" s="136">
        <v>44278.0</v>
      </c>
      <c r="B4" s="127" t="s">
        <v>74</v>
      </c>
      <c r="C4" s="128"/>
      <c r="D4" s="128"/>
      <c r="E4" s="128"/>
      <c r="F4" s="128"/>
      <c r="G4" s="128"/>
      <c r="H4" s="128"/>
      <c r="I4" s="128"/>
      <c r="J4" s="128"/>
      <c r="K4" s="128"/>
      <c r="L4" s="128"/>
      <c r="M4" s="127" t="s">
        <v>72</v>
      </c>
      <c r="N4" s="127">
        <v>9254.0</v>
      </c>
      <c r="O4" s="128"/>
      <c r="P4" s="128"/>
      <c r="Q4" s="128"/>
      <c r="R4" s="128"/>
      <c r="S4" s="128"/>
      <c r="T4" s="128"/>
      <c r="U4" s="127">
        <v>9254.0</v>
      </c>
      <c r="V4" s="129"/>
      <c r="W4" s="128"/>
      <c r="X4" s="128"/>
      <c r="Y4" s="128"/>
      <c r="Z4" s="129"/>
      <c r="AA4" s="120">
        <f t="shared" si="1"/>
        <v>0</v>
      </c>
      <c r="AB4" s="122"/>
      <c r="AC4" s="122"/>
      <c r="AD4" s="122"/>
    </row>
    <row r="5">
      <c r="A5" s="136">
        <v>44278.0</v>
      </c>
      <c r="B5" s="127" t="s">
        <v>74</v>
      </c>
      <c r="C5" s="128"/>
      <c r="D5" s="128"/>
      <c r="E5" s="128"/>
      <c r="F5" s="128"/>
      <c r="G5" s="128"/>
      <c r="H5" s="128"/>
      <c r="I5" s="128"/>
      <c r="J5" s="128"/>
      <c r="K5" s="128"/>
      <c r="L5" s="128"/>
      <c r="M5" s="127" t="s">
        <v>72</v>
      </c>
      <c r="N5" s="127">
        <v>408.0</v>
      </c>
      <c r="O5" s="128"/>
      <c r="P5" s="128"/>
      <c r="Q5" s="128"/>
      <c r="R5" s="128"/>
      <c r="S5" s="128"/>
      <c r="T5" s="128"/>
      <c r="U5" s="127">
        <v>408.0</v>
      </c>
      <c r="V5" s="129"/>
      <c r="W5" s="128"/>
      <c r="X5" s="128"/>
      <c r="Y5" s="128"/>
      <c r="Z5" s="129"/>
      <c r="AA5" s="120">
        <f t="shared" si="1"/>
        <v>0</v>
      </c>
      <c r="AB5" s="111"/>
      <c r="AC5" s="111"/>
      <c r="AD5" s="111"/>
    </row>
    <row r="6">
      <c r="A6" s="136">
        <v>44277.0</v>
      </c>
      <c r="B6" s="127" t="s">
        <v>73</v>
      </c>
      <c r="C6" s="128"/>
      <c r="D6" s="128"/>
      <c r="E6" s="128"/>
      <c r="F6" s="128"/>
      <c r="G6" s="128"/>
      <c r="H6" s="128"/>
      <c r="I6" s="128"/>
      <c r="J6" s="128"/>
      <c r="K6" s="128"/>
      <c r="L6" s="128"/>
      <c r="M6" s="127" t="s">
        <v>72</v>
      </c>
      <c r="N6" s="127">
        <v>571.0</v>
      </c>
      <c r="O6" s="128"/>
      <c r="P6" s="128"/>
      <c r="Q6" s="128"/>
      <c r="R6" s="128"/>
      <c r="S6" s="128"/>
      <c r="T6" s="128"/>
      <c r="U6" s="127">
        <v>571.0</v>
      </c>
      <c r="V6" s="129"/>
      <c r="W6" s="128"/>
      <c r="X6" s="128"/>
      <c r="Y6" s="128"/>
      <c r="Z6" s="129"/>
      <c r="AA6" s="120">
        <f t="shared" si="1"/>
        <v>0</v>
      </c>
      <c r="AB6" s="111"/>
      <c r="AC6" s="111"/>
      <c r="AD6" s="111"/>
    </row>
    <row r="7">
      <c r="A7" s="136">
        <v>44274.0</v>
      </c>
      <c r="B7" s="127" t="s">
        <v>74</v>
      </c>
      <c r="C7" s="128"/>
      <c r="D7" s="128"/>
      <c r="E7" s="128"/>
      <c r="F7" s="128"/>
      <c r="G7" s="128"/>
      <c r="H7" s="128"/>
      <c r="I7" s="128"/>
      <c r="J7" s="128"/>
      <c r="K7" s="128"/>
      <c r="L7" s="128"/>
      <c r="M7" s="127" t="s">
        <v>72</v>
      </c>
      <c r="N7" s="127">
        <v>972.0</v>
      </c>
      <c r="O7" s="128"/>
      <c r="P7" s="128"/>
      <c r="Q7" s="128"/>
      <c r="R7" s="128"/>
      <c r="S7" s="128"/>
      <c r="T7" s="128"/>
      <c r="U7" s="127">
        <v>972.0</v>
      </c>
      <c r="V7" s="129"/>
      <c r="W7" s="128"/>
      <c r="X7" s="128"/>
      <c r="Y7" s="128"/>
      <c r="Z7" s="129"/>
      <c r="AA7" s="120">
        <f t="shared" si="1"/>
        <v>0</v>
      </c>
      <c r="AB7" s="122"/>
      <c r="AC7" s="122"/>
      <c r="AD7" s="122"/>
    </row>
    <row r="8">
      <c r="A8" s="136">
        <v>44273.0</v>
      </c>
      <c r="B8" s="127" t="s">
        <v>231</v>
      </c>
      <c r="C8" s="128"/>
      <c r="D8" s="128"/>
      <c r="E8" s="128"/>
      <c r="F8" s="128"/>
      <c r="G8" s="128"/>
      <c r="H8" s="128"/>
      <c r="I8" s="128"/>
      <c r="J8" s="128"/>
      <c r="K8" s="128"/>
      <c r="L8" s="128"/>
      <c r="M8" s="127" t="s">
        <v>72</v>
      </c>
      <c r="N8" s="127">
        <v>2155.0</v>
      </c>
      <c r="O8" s="128"/>
      <c r="P8" s="128"/>
      <c r="Q8" s="128"/>
      <c r="R8" s="128"/>
      <c r="S8" s="128"/>
      <c r="T8" s="128"/>
      <c r="U8" s="127">
        <v>2155.0</v>
      </c>
      <c r="V8" s="129"/>
      <c r="W8" s="128"/>
      <c r="X8" s="128"/>
      <c r="Y8" s="128"/>
      <c r="Z8" s="129"/>
      <c r="AA8" s="120">
        <f t="shared" si="1"/>
        <v>0</v>
      </c>
      <c r="AB8" s="121"/>
      <c r="AC8" s="122"/>
      <c r="AD8" s="122"/>
    </row>
    <row r="9">
      <c r="A9" s="136">
        <v>44271.0</v>
      </c>
      <c r="B9" s="127" t="s">
        <v>74</v>
      </c>
      <c r="C9" s="128"/>
      <c r="D9" s="128"/>
      <c r="E9" s="128"/>
      <c r="F9" s="128"/>
      <c r="G9" s="128"/>
      <c r="H9" s="128"/>
      <c r="I9" s="128"/>
      <c r="J9" s="128"/>
      <c r="K9" s="128"/>
      <c r="L9" s="128"/>
      <c r="M9" s="127" t="s">
        <v>72</v>
      </c>
      <c r="N9" s="127">
        <v>3260.0</v>
      </c>
      <c r="O9" s="128"/>
      <c r="P9" s="128"/>
      <c r="Q9" s="128"/>
      <c r="R9" s="128"/>
      <c r="S9" s="128"/>
      <c r="T9" s="128"/>
      <c r="U9" s="127">
        <v>3260.0</v>
      </c>
      <c r="V9" s="129"/>
      <c r="W9" s="128"/>
      <c r="X9" s="128"/>
      <c r="Y9" s="128"/>
      <c r="Z9" s="129"/>
      <c r="AA9" s="120">
        <f t="shared" si="1"/>
        <v>0</v>
      </c>
      <c r="AB9" s="121"/>
      <c r="AC9" s="122"/>
      <c r="AD9" s="122"/>
    </row>
    <row r="10">
      <c r="A10" s="136">
        <v>44270.0</v>
      </c>
      <c r="B10" s="127" t="s">
        <v>71</v>
      </c>
      <c r="C10" s="128"/>
      <c r="D10" s="128"/>
      <c r="E10" s="128"/>
      <c r="F10" s="128"/>
      <c r="G10" s="128"/>
      <c r="H10" s="128"/>
      <c r="I10" s="128"/>
      <c r="J10" s="128"/>
      <c r="K10" s="128"/>
      <c r="L10" s="128"/>
      <c r="M10" s="127" t="s">
        <v>72</v>
      </c>
      <c r="N10" s="127">
        <v>102.0</v>
      </c>
      <c r="O10" s="128"/>
      <c r="P10" s="128"/>
      <c r="Q10" s="128"/>
      <c r="R10" s="128"/>
      <c r="S10" s="128"/>
      <c r="T10" s="128"/>
      <c r="U10" s="127">
        <v>102.0</v>
      </c>
      <c r="V10" s="129"/>
      <c r="W10" s="128"/>
      <c r="X10" s="128"/>
      <c r="Y10" s="128"/>
      <c r="Z10" s="129"/>
      <c r="AA10" s="120">
        <f t="shared" si="1"/>
        <v>0</v>
      </c>
      <c r="AB10" s="122"/>
      <c r="AC10" s="122"/>
      <c r="AD10" s="122"/>
    </row>
    <row r="11">
      <c r="A11" s="136">
        <v>44269.0</v>
      </c>
      <c r="B11" s="127" t="s">
        <v>74</v>
      </c>
      <c r="C11" s="128"/>
      <c r="D11" s="128"/>
      <c r="E11" s="128"/>
      <c r="F11" s="128"/>
      <c r="G11" s="128"/>
      <c r="H11" s="128"/>
      <c r="I11" s="128"/>
      <c r="J11" s="128"/>
      <c r="K11" s="128"/>
      <c r="L11" s="128"/>
      <c r="M11" s="127" t="s">
        <v>72</v>
      </c>
      <c r="N11" s="127">
        <v>3216.0</v>
      </c>
      <c r="O11" s="128"/>
      <c r="P11" s="128"/>
      <c r="Q11" s="128"/>
      <c r="R11" s="128"/>
      <c r="S11" s="128"/>
      <c r="T11" s="128"/>
      <c r="U11" s="127">
        <v>3216.0</v>
      </c>
      <c r="V11" s="129"/>
      <c r="W11" s="128"/>
      <c r="X11" s="128"/>
      <c r="Y11" s="128"/>
      <c r="Z11" s="129"/>
      <c r="AA11" s="120">
        <f t="shared" si="1"/>
        <v>0</v>
      </c>
      <c r="AB11" s="122"/>
      <c r="AC11" s="122"/>
      <c r="AD11" s="122"/>
    </row>
    <row r="12">
      <c r="A12" s="136">
        <v>44267.0</v>
      </c>
      <c r="B12" s="127" t="s">
        <v>205</v>
      </c>
      <c r="C12" s="128"/>
      <c r="D12" s="128"/>
      <c r="E12" s="128"/>
      <c r="F12" s="128"/>
      <c r="G12" s="128"/>
      <c r="H12" s="128"/>
      <c r="I12" s="128"/>
      <c r="J12" s="128"/>
      <c r="K12" s="128"/>
      <c r="L12" s="128"/>
      <c r="M12" s="127" t="s">
        <v>72</v>
      </c>
      <c r="N12" s="127">
        <v>354.0</v>
      </c>
      <c r="O12" s="128"/>
      <c r="P12" s="128"/>
      <c r="Q12" s="128"/>
      <c r="R12" s="128"/>
      <c r="S12" s="128"/>
      <c r="T12" s="128"/>
      <c r="U12" s="127">
        <v>354.0</v>
      </c>
      <c r="V12" s="129"/>
      <c r="W12" s="128"/>
      <c r="X12" s="128"/>
      <c r="Y12" s="128"/>
      <c r="Z12" s="129"/>
      <c r="AA12" s="120">
        <f t="shared" si="1"/>
        <v>0</v>
      </c>
      <c r="AB12" s="122"/>
      <c r="AC12" s="122"/>
      <c r="AD12" s="122"/>
    </row>
    <row r="13">
      <c r="A13" s="136">
        <v>44266.0</v>
      </c>
      <c r="B13" s="127" t="s">
        <v>74</v>
      </c>
      <c r="C13" s="128"/>
      <c r="D13" s="128"/>
      <c r="E13" s="128"/>
      <c r="F13" s="128"/>
      <c r="G13" s="128"/>
      <c r="H13" s="128"/>
      <c r="I13" s="128"/>
      <c r="J13" s="128"/>
      <c r="K13" s="128"/>
      <c r="L13" s="128"/>
      <c r="M13" s="127" t="s">
        <v>72</v>
      </c>
      <c r="N13" s="127">
        <v>8235.0</v>
      </c>
      <c r="O13" s="128"/>
      <c r="P13" s="128"/>
      <c r="Q13" s="128"/>
      <c r="R13" s="128"/>
      <c r="S13" s="128"/>
      <c r="T13" s="128"/>
      <c r="U13" s="127">
        <v>8235.0</v>
      </c>
      <c r="V13" s="129"/>
      <c r="W13" s="128"/>
      <c r="X13" s="128"/>
      <c r="Y13" s="128"/>
      <c r="Z13" s="129"/>
      <c r="AA13" s="120">
        <f t="shared" si="1"/>
        <v>0</v>
      </c>
      <c r="AB13" s="122"/>
      <c r="AC13" s="122"/>
      <c r="AD13" s="122"/>
    </row>
    <row r="14">
      <c r="A14" s="136">
        <v>44263.0</v>
      </c>
      <c r="B14" s="127" t="s">
        <v>74</v>
      </c>
      <c r="C14" s="128"/>
      <c r="D14" s="128"/>
      <c r="E14" s="128"/>
      <c r="F14" s="128"/>
      <c r="G14" s="128"/>
      <c r="H14" s="128"/>
      <c r="I14" s="128"/>
      <c r="J14" s="128"/>
      <c r="K14" s="128"/>
      <c r="L14" s="128"/>
      <c r="M14" s="127" t="s">
        <v>72</v>
      </c>
      <c r="N14" s="127">
        <v>8836.0</v>
      </c>
      <c r="O14" s="128"/>
      <c r="P14" s="128"/>
      <c r="Q14" s="128"/>
      <c r="R14" s="128"/>
      <c r="S14" s="128"/>
      <c r="T14" s="128"/>
      <c r="U14" s="127">
        <v>8836.0</v>
      </c>
      <c r="V14" s="129"/>
      <c r="W14" s="128"/>
      <c r="X14" s="128"/>
      <c r="Y14" s="128"/>
      <c r="Z14" s="129"/>
      <c r="AA14" s="120">
        <f t="shared" si="1"/>
        <v>0</v>
      </c>
      <c r="AB14" s="122"/>
      <c r="AC14" s="122"/>
      <c r="AD14" s="122"/>
    </row>
    <row r="15">
      <c r="A15" s="136">
        <v>44261.0</v>
      </c>
      <c r="B15" s="127" t="s">
        <v>73</v>
      </c>
      <c r="C15" s="128"/>
      <c r="D15" s="128"/>
      <c r="E15" s="128"/>
      <c r="F15" s="128"/>
      <c r="G15" s="128"/>
      <c r="H15" s="128"/>
      <c r="I15" s="128"/>
      <c r="J15" s="128"/>
      <c r="K15" s="128"/>
      <c r="L15" s="128"/>
      <c r="M15" s="127" t="s">
        <v>72</v>
      </c>
      <c r="N15" s="127">
        <v>213.0</v>
      </c>
      <c r="O15" s="128"/>
      <c r="P15" s="128"/>
      <c r="Q15" s="128"/>
      <c r="R15" s="128"/>
      <c r="S15" s="128"/>
      <c r="T15" s="128"/>
      <c r="U15" s="127">
        <v>213.0</v>
      </c>
      <c r="V15" s="129"/>
      <c r="W15" s="128"/>
      <c r="X15" s="128"/>
      <c r="Y15" s="128"/>
      <c r="Z15" s="129"/>
      <c r="AA15" s="120">
        <f t="shared" si="1"/>
        <v>0</v>
      </c>
      <c r="AB15" s="122"/>
      <c r="AC15" s="122"/>
      <c r="AD15" s="122"/>
    </row>
    <row r="16">
      <c r="A16" s="136">
        <v>44259.0</v>
      </c>
      <c r="B16" s="127" t="s">
        <v>74</v>
      </c>
      <c r="C16" s="128"/>
      <c r="D16" s="128"/>
      <c r="E16" s="128"/>
      <c r="F16" s="128"/>
      <c r="G16" s="128"/>
      <c r="H16" s="128"/>
      <c r="I16" s="128"/>
      <c r="J16" s="128"/>
      <c r="K16" s="128"/>
      <c r="L16" s="128"/>
      <c r="M16" s="127" t="s">
        <v>72</v>
      </c>
      <c r="N16" s="127">
        <v>6103.0</v>
      </c>
      <c r="O16" s="128"/>
      <c r="P16" s="128"/>
      <c r="Q16" s="128"/>
      <c r="R16" s="128"/>
      <c r="S16" s="128"/>
      <c r="T16" s="128"/>
      <c r="U16" s="127">
        <v>6103.0</v>
      </c>
      <c r="V16" s="129"/>
      <c r="W16" s="128"/>
      <c r="X16" s="128"/>
      <c r="Y16" s="128"/>
      <c r="Z16" s="129"/>
      <c r="AA16" s="120">
        <f t="shared" si="1"/>
        <v>0</v>
      </c>
      <c r="AB16" s="121"/>
      <c r="AC16" s="122"/>
      <c r="AD16" s="122"/>
    </row>
    <row r="17">
      <c r="A17" s="136">
        <v>44256.0</v>
      </c>
      <c r="B17" s="127" t="s">
        <v>74</v>
      </c>
      <c r="C17" s="128"/>
      <c r="D17" s="128"/>
      <c r="E17" s="128"/>
      <c r="F17" s="128"/>
      <c r="G17" s="128"/>
      <c r="H17" s="128"/>
      <c r="I17" s="128"/>
      <c r="J17" s="128"/>
      <c r="K17" s="128"/>
      <c r="L17" s="128"/>
      <c r="M17" s="127" t="s">
        <v>72</v>
      </c>
      <c r="N17" s="127">
        <v>5509.0</v>
      </c>
      <c r="O17" s="128"/>
      <c r="P17" s="128"/>
      <c r="Q17" s="128"/>
      <c r="R17" s="128"/>
      <c r="S17" s="128"/>
      <c r="T17" s="128"/>
      <c r="U17" s="127">
        <v>5509.0</v>
      </c>
      <c r="V17" s="129"/>
      <c r="W17" s="128"/>
      <c r="X17" s="128"/>
      <c r="Y17" s="128"/>
      <c r="Z17" s="129"/>
      <c r="AA17" s="120">
        <f t="shared" si="1"/>
        <v>0</v>
      </c>
      <c r="AB17" s="122"/>
      <c r="AC17" s="122"/>
      <c r="AD17" s="122"/>
    </row>
    <row r="18">
      <c r="A18" s="136">
        <v>44282.0</v>
      </c>
      <c r="B18" s="127" t="s">
        <v>189</v>
      </c>
      <c r="C18" s="128"/>
      <c r="D18" s="128"/>
      <c r="E18" s="128"/>
      <c r="F18" s="128"/>
      <c r="G18" s="128"/>
      <c r="H18" s="128"/>
      <c r="I18" s="128"/>
      <c r="J18" s="128"/>
      <c r="K18" s="128"/>
      <c r="L18" s="128"/>
      <c r="M18" s="127" t="s">
        <v>72</v>
      </c>
      <c r="N18" s="128"/>
      <c r="O18" s="128"/>
      <c r="P18" s="128"/>
      <c r="Q18" s="127">
        <v>110.0</v>
      </c>
      <c r="R18" s="128"/>
      <c r="S18" s="128"/>
      <c r="T18" s="128"/>
      <c r="U18" s="127">
        <v>110.0</v>
      </c>
      <c r="V18" s="129"/>
      <c r="W18" s="128"/>
      <c r="X18" s="128"/>
      <c r="Y18" s="128"/>
      <c r="Z18" s="129"/>
      <c r="AA18" s="120">
        <f t="shared" si="1"/>
        <v>0</v>
      </c>
      <c r="AB18" s="111"/>
      <c r="AC18" s="111"/>
      <c r="AD18" s="111"/>
    </row>
    <row r="19">
      <c r="A19" s="136">
        <v>44278.0</v>
      </c>
      <c r="B19" s="127" t="s">
        <v>189</v>
      </c>
      <c r="C19" s="128"/>
      <c r="D19" s="128"/>
      <c r="E19" s="128"/>
      <c r="F19" s="128"/>
      <c r="G19" s="128"/>
      <c r="H19" s="128"/>
      <c r="I19" s="128"/>
      <c r="J19" s="128"/>
      <c r="K19" s="128"/>
      <c r="L19" s="128"/>
      <c r="M19" s="127" t="s">
        <v>72</v>
      </c>
      <c r="N19" s="128"/>
      <c r="O19" s="128"/>
      <c r="P19" s="128"/>
      <c r="Q19" s="127">
        <v>500.0</v>
      </c>
      <c r="R19" s="128"/>
      <c r="S19" s="128"/>
      <c r="T19" s="128"/>
      <c r="U19" s="127">
        <v>500.0</v>
      </c>
      <c r="V19" s="129"/>
      <c r="W19" s="128"/>
      <c r="X19" s="128"/>
      <c r="Y19" s="128"/>
      <c r="Z19" s="129"/>
      <c r="AA19" s="120">
        <f t="shared" si="1"/>
        <v>0</v>
      </c>
      <c r="AB19" s="111"/>
      <c r="AC19" s="111"/>
      <c r="AD19" s="111"/>
    </row>
    <row r="20">
      <c r="A20" s="136">
        <v>44271.0</v>
      </c>
      <c r="B20" s="127" t="s">
        <v>77</v>
      </c>
      <c r="C20" s="128"/>
      <c r="D20" s="128"/>
      <c r="E20" s="128"/>
      <c r="F20" s="128"/>
      <c r="G20" s="128"/>
      <c r="H20" s="128"/>
      <c r="I20" s="128"/>
      <c r="J20" s="128"/>
      <c r="K20" s="128"/>
      <c r="L20" s="128"/>
      <c r="M20" s="127" t="s">
        <v>72</v>
      </c>
      <c r="N20" s="128"/>
      <c r="O20" s="128"/>
      <c r="P20" s="128"/>
      <c r="Q20" s="127">
        <v>250.0</v>
      </c>
      <c r="R20" s="128"/>
      <c r="S20" s="128"/>
      <c r="T20" s="128"/>
      <c r="U20" s="127">
        <v>250.0</v>
      </c>
      <c r="V20" s="129"/>
      <c r="W20" s="128"/>
      <c r="X20" s="128"/>
      <c r="Y20" s="128"/>
      <c r="Z20" s="129"/>
      <c r="AA20" s="120">
        <f t="shared" si="1"/>
        <v>0</v>
      </c>
      <c r="AB20" s="111"/>
      <c r="AC20" s="111"/>
      <c r="AD20" s="111"/>
    </row>
    <row r="21">
      <c r="A21" s="136">
        <v>44267.0</v>
      </c>
      <c r="B21" s="127" t="s">
        <v>282</v>
      </c>
      <c r="C21" s="128"/>
      <c r="D21" s="128"/>
      <c r="E21" s="128"/>
      <c r="F21" s="128"/>
      <c r="G21" s="128"/>
      <c r="H21" s="128"/>
      <c r="I21" s="128"/>
      <c r="J21" s="128"/>
      <c r="K21" s="128"/>
      <c r="L21" s="128"/>
      <c r="M21" s="127" t="s">
        <v>72</v>
      </c>
      <c r="N21" s="128"/>
      <c r="O21" s="128"/>
      <c r="P21" s="128"/>
      <c r="Q21" s="127">
        <v>421.0</v>
      </c>
      <c r="R21" s="128"/>
      <c r="S21" s="128"/>
      <c r="T21" s="128"/>
      <c r="U21" s="127">
        <v>421.0</v>
      </c>
      <c r="V21" s="129"/>
      <c r="W21" s="128"/>
      <c r="X21" s="128"/>
      <c r="Y21" s="128"/>
      <c r="Z21" s="129"/>
      <c r="AA21" s="120">
        <f t="shared" si="1"/>
        <v>0</v>
      </c>
      <c r="AB21" s="111"/>
      <c r="AC21" s="111"/>
      <c r="AD21" s="111"/>
    </row>
    <row r="22">
      <c r="A22" s="136">
        <v>44244.0</v>
      </c>
      <c r="B22" s="127" t="s">
        <v>216</v>
      </c>
      <c r="C22" s="128"/>
      <c r="D22" s="128"/>
      <c r="E22" s="128"/>
      <c r="F22" s="128"/>
      <c r="G22" s="128"/>
      <c r="H22" s="128"/>
      <c r="I22" s="128"/>
      <c r="J22" s="128"/>
      <c r="K22" s="128"/>
      <c r="L22" s="128"/>
      <c r="M22" s="127" t="s">
        <v>72</v>
      </c>
      <c r="N22" s="128"/>
      <c r="O22" s="128"/>
      <c r="P22" s="128"/>
      <c r="Q22" s="127">
        <v>980.0</v>
      </c>
      <c r="R22" s="128"/>
      <c r="S22" s="128"/>
      <c r="T22" s="128"/>
      <c r="U22" s="127">
        <v>980.0</v>
      </c>
      <c r="V22" s="129"/>
      <c r="W22" s="128"/>
      <c r="X22" s="128"/>
      <c r="Y22" s="128"/>
      <c r="Z22" s="129"/>
      <c r="AA22" s="120">
        <f t="shared" si="1"/>
        <v>0</v>
      </c>
      <c r="AB22" s="122"/>
      <c r="AC22" s="122"/>
      <c r="AD22" s="122"/>
    </row>
    <row r="23">
      <c r="A23" s="136">
        <v>44278.0</v>
      </c>
      <c r="B23" s="127" t="s">
        <v>283</v>
      </c>
      <c r="C23" s="128"/>
      <c r="D23" s="128"/>
      <c r="E23" s="128"/>
      <c r="F23" s="128"/>
      <c r="G23" s="128"/>
      <c r="H23" s="128"/>
      <c r="I23" s="128"/>
      <c r="J23" s="128"/>
      <c r="K23" s="128"/>
      <c r="L23" s="128"/>
      <c r="M23" s="127" t="s">
        <v>72</v>
      </c>
      <c r="N23" s="122"/>
      <c r="O23" s="128"/>
      <c r="P23" s="127">
        <v>2000.0</v>
      </c>
      <c r="Q23" s="128"/>
      <c r="R23" s="128"/>
      <c r="S23" s="128"/>
      <c r="T23" s="128"/>
      <c r="U23" s="127">
        <v>2000.0</v>
      </c>
      <c r="V23" s="129"/>
      <c r="W23" s="128"/>
      <c r="X23" s="128"/>
      <c r="Y23" s="128"/>
      <c r="Z23" s="129"/>
      <c r="AA23" s="120">
        <f t="shared" ref="AA23:AA26" si="2">sum(C23:L23,O23:Q23)-sum(S23:Z23)</f>
        <v>0</v>
      </c>
      <c r="AB23" s="122"/>
      <c r="AC23" s="122"/>
      <c r="AD23" s="122"/>
    </row>
    <row r="24">
      <c r="A24" s="136">
        <v>44278.0</v>
      </c>
      <c r="B24" s="127" t="s">
        <v>284</v>
      </c>
      <c r="C24" s="128"/>
      <c r="D24" s="128"/>
      <c r="E24" s="128"/>
      <c r="F24" s="128"/>
      <c r="G24" s="128"/>
      <c r="H24" s="128"/>
      <c r="I24" s="128"/>
      <c r="J24" s="128"/>
      <c r="K24" s="128"/>
      <c r="L24" s="128"/>
      <c r="M24" s="127" t="s">
        <v>81</v>
      </c>
      <c r="N24" s="122"/>
      <c r="O24" s="128"/>
      <c r="P24" s="128"/>
      <c r="Q24" s="127">
        <v>7752.0</v>
      </c>
      <c r="R24" s="128"/>
      <c r="S24" s="128"/>
      <c r="T24" s="128"/>
      <c r="U24" s="127">
        <v>7752.0</v>
      </c>
      <c r="V24" s="129"/>
      <c r="W24" s="128"/>
      <c r="X24" s="128"/>
      <c r="Y24" s="128"/>
      <c r="Z24" s="129"/>
      <c r="AA24" s="120">
        <f t="shared" si="2"/>
        <v>0</v>
      </c>
      <c r="AB24" s="122"/>
      <c r="AC24" s="122"/>
      <c r="AD24" s="122"/>
    </row>
    <row r="25">
      <c r="A25" s="136">
        <v>44274.0</v>
      </c>
      <c r="B25" s="127" t="s">
        <v>285</v>
      </c>
      <c r="C25" s="128"/>
      <c r="D25" s="128"/>
      <c r="E25" s="128"/>
      <c r="F25" s="128"/>
      <c r="G25" s="128"/>
      <c r="H25" s="128"/>
      <c r="I25" s="128"/>
      <c r="J25" s="128"/>
      <c r="K25" s="128"/>
      <c r="L25" s="128"/>
      <c r="M25" s="127" t="s">
        <v>79</v>
      </c>
      <c r="N25" s="122"/>
      <c r="O25" s="128"/>
      <c r="P25" s="128"/>
      <c r="Q25" s="127">
        <v>2220.0</v>
      </c>
      <c r="R25" s="128"/>
      <c r="S25" s="128"/>
      <c r="T25" s="128"/>
      <c r="U25" s="127">
        <v>2220.0</v>
      </c>
      <c r="V25" s="129"/>
      <c r="W25" s="128"/>
      <c r="X25" s="128"/>
      <c r="Y25" s="128"/>
      <c r="Z25" s="129"/>
      <c r="AA25" s="120">
        <f t="shared" si="2"/>
        <v>0</v>
      </c>
      <c r="AB25" s="122"/>
      <c r="AC25" s="122"/>
      <c r="AD25" s="122"/>
    </row>
    <row r="26">
      <c r="A26" s="136">
        <v>44273.0</v>
      </c>
      <c r="B26" s="127" t="s">
        <v>285</v>
      </c>
      <c r="C26" s="128"/>
      <c r="D26" s="128"/>
      <c r="E26" s="128"/>
      <c r="F26" s="128"/>
      <c r="G26" s="128"/>
      <c r="H26" s="128"/>
      <c r="I26" s="128"/>
      <c r="J26" s="128"/>
      <c r="K26" s="128"/>
      <c r="L26" s="128"/>
      <c r="M26" s="127" t="s">
        <v>72</v>
      </c>
      <c r="N26" s="122"/>
      <c r="O26" s="128"/>
      <c r="P26" s="128"/>
      <c r="Q26" s="127">
        <v>9417.0</v>
      </c>
      <c r="R26" s="128"/>
      <c r="S26" s="128"/>
      <c r="T26" s="128"/>
      <c r="U26" s="127">
        <v>9417.0</v>
      </c>
      <c r="V26" s="129"/>
      <c r="W26" s="128"/>
      <c r="X26" s="128"/>
      <c r="Y26" s="128"/>
      <c r="Z26" s="129"/>
      <c r="AA26" s="120">
        <f t="shared" si="2"/>
        <v>0</v>
      </c>
      <c r="AB26" s="122"/>
      <c r="AC26" s="122"/>
      <c r="AD26" s="122"/>
    </row>
    <row r="27">
      <c r="A27" s="136">
        <v>44264.0</v>
      </c>
      <c r="B27" s="127" t="s">
        <v>286</v>
      </c>
      <c r="C27" s="128"/>
      <c r="D27" s="128"/>
      <c r="E27" s="128"/>
      <c r="F27" s="128"/>
      <c r="G27" s="128"/>
      <c r="H27" s="128"/>
      <c r="I27" s="128"/>
      <c r="J27" s="128"/>
      <c r="K27" s="128"/>
      <c r="L27" s="128"/>
      <c r="M27" s="127" t="s">
        <v>72</v>
      </c>
      <c r="N27" s="127">
        <v>820.0</v>
      </c>
      <c r="O27" s="128"/>
      <c r="P27" s="128"/>
      <c r="Q27" s="128"/>
      <c r="R27" s="128"/>
      <c r="S27" s="128"/>
      <c r="T27" s="128"/>
      <c r="U27" s="127">
        <v>820.0</v>
      </c>
      <c r="V27" s="129"/>
      <c r="W27" s="128"/>
      <c r="X27" s="128"/>
      <c r="Y27" s="128"/>
      <c r="Z27" s="129"/>
      <c r="AA27" s="120">
        <f t="shared" ref="AA27:AA76" si="3">sum(C27:L27,N27:Q27)-sum(S27:Z27)</f>
        <v>0</v>
      </c>
      <c r="AB27" s="121"/>
      <c r="AC27" s="122"/>
      <c r="AD27" s="122"/>
    </row>
    <row r="28">
      <c r="A28" s="136">
        <v>44264.0</v>
      </c>
      <c r="B28" s="127" t="s">
        <v>287</v>
      </c>
      <c r="C28" s="128"/>
      <c r="D28" s="128"/>
      <c r="E28" s="128"/>
      <c r="F28" s="128"/>
      <c r="G28" s="128"/>
      <c r="H28" s="128"/>
      <c r="I28" s="128"/>
      <c r="J28" s="128"/>
      <c r="K28" s="128"/>
      <c r="L28" s="128"/>
      <c r="M28" s="127" t="s">
        <v>72</v>
      </c>
      <c r="N28" s="127">
        <v>2938.0</v>
      </c>
      <c r="O28" s="128"/>
      <c r="P28" s="128"/>
      <c r="Q28" s="128"/>
      <c r="R28" s="128"/>
      <c r="S28" s="128"/>
      <c r="T28" s="128"/>
      <c r="U28" s="127">
        <v>2938.0</v>
      </c>
      <c r="V28" s="129"/>
      <c r="W28" s="128"/>
      <c r="X28" s="128"/>
      <c r="Y28" s="128"/>
      <c r="Z28" s="129"/>
      <c r="AA28" s="120">
        <f t="shared" si="3"/>
        <v>0</v>
      </c>
      <c r="AB28" s="121"/>
      <c r="AC28" s="111"/>
      <c r="AD28" s="111"/>
    </row>
    <row r="29">
      <c r="A29" s="136">
        <v>44259.0</v>
      </c>
      <c r="B29" s="127" t="s">
        <v>288</v>
      </c>
      <c r="C29" s="128"/>
      <c r="D29" s="128"/>
      <c r="E29" s="128"/>
      <c r="F29" s="128"/>
      <c r="G29" s="128"/>
      <c r="H29" s="128"/>
      <c r="I29" s="128"/>
      <c r="J29" s="128"/>
      <c r="K29" s="128"/>
      <c r="L29" s="128"/>
      <c r="M29" s="127" t="s">
        <v>72</v>
      </c>
      <c r="N29" s="127">
        <v>2299.0</v>
      </c>
      <c r="O29" s="128"/>
      <c r="P29" s="128"/>
      <c r="Q29" s="128"/>
      <c r="R29" s="128"/>
      <c r="S29" s="128"/>
      <c r="T29" s="128"/>
      <c r="U29" s="127">
        <v>2299.0</v>
      </c>
      <c r="V29" s="129"/>
      <c r="W29" s="128"/>
      <c r="X29" s="128"/>
      <c r="Y29" s="128"/>
      <c r="Z29" s="129"/>
      <c r="AA29" s="120">
        <f t="shared" si="3"/>
        <v>0</v>
      </c>
      <c r="AB29" s="122"/>
      <c r="AC29" s="122"/>
      <c r="AD29" s="122"/>
    </row>
    <row r="30">
      <c r="A30" s="136">
        <v>44258.0</v>
      </c>
      <c r="B30" s="127" t="s">
        <v>288</v>
      </c>
      <c r="C30" s="128"/>
      <c r="D30" s="128"/>
      <c r="E30" s="128"/>
      <c r="F30" s="128"/>
      <c r="G30" s="128"/>
      <c r="H30" s="128"/>
      <c r="I30" s="128"/>
      <c r="J30" s="128"/>
      <c r="K30" s="128"/>
      <c r="L30" s="128"/>
      <c r="M30" s="127" t="s">
        <v>72</v>
      </c>
      <c r="N30" s="127">
        <v>3080.0</v>
      </c>
      <c r="O30" s="128"/>
      <c r="P30" s="128"/>
      <c r="Q30" s="128"/>
      <c r="R30" s="128"/>
      <c r="S30" s="128"/>
      <c r="T30" s="128"/>
      <c r="U30" s="127">
        <v>3080.0</v>
      </c>
      <c r="V30" s="129"/>
      <c r="W30" s="128"/>
      <c r="X30" s="128"/>
      <c r="Y30" s="128"/>
      <c r="Z30" s="129"/>
      <c r="AA30" s="120">
        <f t="shared" si="3"/>
        <v>0</v>
      </c>
      <c r="AB30" s="122"/>
      <c r="AC30" s="122"/>
      <c r="AD30" s="122"/>
    </row>
    <row r="31">
      <c r="A31" s="136">
        <v>44284.0</v>
      </c>
      <c r="B31" s="127" t="s">
        <v>93</v>
      </c>
      <c r="C31" s="128"/>
      <c r="D31" s="128"/>
      <c r="E31" s="128"/>
      <c r="F31" s="128"/>
      <c r="G31" s="128"/>
      <c r="H31" s="128"/>
      <c r="I31" s="128"/>
      <c r="J31" s="127">
        <v>-160.0</v>
      </c>
      <c r="K31" s="127">
        <v>160.0</v>
      </c>
      <c r="L31" s="128"/>
      <c r="M31" s="129"/>
      <c r="N31" s="128"/>
      <c r="O31" s="128"/>
      <c r="P31" s="128"/>
      <c r="Q31" s="128"/>
      <c r="R31" s="128"/>
      <c r="S31" s="128"/>
      <c r="T31" s="128"/>
      <c r="U31" s="128"/>
      <c r="V31" s="129"/>
      <c r="W31" s="128"/>
      <c r="X31" s="128"/>
      <c r="Y31" s="128"/>
      <c r="Z31" s="129"/>
      <c r="AA31" s="120">
        <f t="shared" si="3"/>
        <v>0</v>
      </c>
      <c r="AB31" s="122"/>
      <c r="AC31" s="122"/>
      <c r="AD31" s="122"/>
    </row>
    <row r="32">
      <c r="A32" s="136">
        <v>44277.0</v>
      </c>
      <c r="B32" s="127" t="s">
        <v>93</v>
      </c>
      <c r="C32" s="128"/>
      <c r="D32" s="128"/>
      <c r="E32" s="128"/>
      <c r="F32" s="128"/>
      <c r="G32" s="128"/>
      <c r="H32" s="128"/>
      <c r="I32" s="128"/>
      <c r="J32" s="127">
        <v>-160.0</v>
      </c>
      <c r="K32" s="127">
        <v>160.0</v>
      </c>
      <c r="L32" s="128"/>
      <c r="M32" s="129"/>
      <c r="N32" s="128"/>
      <c r="O32" s="128"/>
      <c r="P32" s="128"/>
      <c r="Q32" s="128"/>
      <c r="R32" s="128"/>
      <c r="S32" s="128"/>
      <c r="T32" s="128"/>
      <c r="U32" s="128"/>
      <c r="V32" s="129"/>
      <c r="W32" s="128"/>
      <c r="X32" s="128"/>
      <c r="Y32" s="128"/>
      <c r="Z32" s="129"/>
      <c r="AA32" s="120">
        <f t="shared" si="3"/>
        <v>0</v>
      </c>
      <c r="AB32" s="122"/>
      <c r="AC32" s="122"/>
      <c r="AD32" s="122"/>
    </row>
    <row r="33">
      <c r="A33" s="136">
        <v>44270.0</v>
      </c>
      <c r="B33" s="127" t="s">
        <v>93</v>
      </c>
      <c r="C33" s="128"/>
      <c r="D33" s="128"/>
      <c r="E33" s="128"/>
      <c r="F33" s="128"/>
      <c r="G33" s="128"/>
      <c r="H33" s="128"/>
      <c r="I33" s="128"/>
      <c r="J33" s="127">
        <v>-160.0</v>
      </c>
      <c r="K33" s="127">
        <v>160.0</v>
      </c>
      <c r="L33" s="128"/>
      <c r="M33" s="129"/>
      <c r="N33" s="128"/>
      <c r="O33" s="128"/>
      <c r="P33" s="128"/>
      <c r="Q33" s="128"/>
      <c r="R33" s="128"/>
      <c r="S33" s="128"/>
      <c r="T33" s="128"/>
      <c r="U33" s="128"/>
      <c r="V33" s="129"/>
      <c r="W33" s="128"/>
      <c r="X33" s="128"/>
      <c r="Y33" s="128"/>
      <c r="Z33" s="129"/>
      <c r="AA33" s="120">
        <f t="shared" si="3"/>
        <v>0</v>
      </c>
      <c r="AB33" s="121"/>
      <c r="AC33" s="122"/>
      <c r="AD33" s="122"/>
    </row>
    <row r="34">
      <c r="A34" s="136">
        <v>44263.0</v>
      </c>
      <c r="B34" s="127" t="s">
        <v>93</v>
      </c>
      <c r="C34" s="128"/>
      <c r="D34" s="128"/>
      <c r="E34" s="128"/>
      <c r="F34" s="128"/>
      <c r="G34" s="128"/>
      <c r="H34" s="128"/>
      <c r="I34" s="128"/>
      <c r="J34" s="127">
        <v>-160.0</v>
      </c>
      <c r="K34" s="127">
        <v>160.0</v>
      </c>
      <c r="L34" s="128"/>
      <c r="M34" s="129"/>
      <c r="N34" s="128"/>
      <c r="O34" s="128"/>
      <c r="P34" s="128"/>
      <c r="Q34" s="128"/>
      <c r="R34" s="128"/>
      <c r="S34" s="128"/>
      <c r="T34" s="128"/>
      <c r="U34" s="128"/>
      <c r="V34" s="129"/>
      <c r="W34" s="128"/>
      <c r="X34" s="128"/>
      <c r="Y34" s="128"/>
      <c r="Z34" s="129"/>
      <c r="AA34" s="120">
        <f t="shared" si="3"/>
        <v>0</v>
      </c>
      <c r="AB34" s="121"/>
      <c r="AC34" s="111"/>
      <c r="AD34" s="111"/>
    </row>
    <row r="35">
      <c r="A35" s="136">
        <v>44256.0</v>
      </c>
      <c r="B35" s="127" t="s">
        <v>93</v>
      </c>
      <c r="C35" s="128"/>
      <c r="D35" s="128"/>
      <c r="E35" s="128"/>
      <c r="F35" s="128"/>
      <c r="G35" s="128"/>
      <c r="H35" s="128"/>
      <c r="I35" s="128"/>
      <c r="J35" s="127">
        <v>-160.0</v>
      </c>
      <c r="K35" s="127">
        <v>160.0</v>
      </c>
      <c r="L35" s="128"/>
      <c r="M35" s="129"/>
      <c r="N35" s="128"/>
      <c r="O35" s="128"/>
      <c r="P35" s="128"/>
      <c r="Q35" s="128"/>
      <c r="R35" s="128"/>
      <c r="S35" s="128"/>
      <c r="T35" s="128"/>
      <c r="U35" s="128"/>
      <c r="V35" s="129"/>
      <c r="W35" s="128"/>
      <c r="X35" s="128"/>
      <c r="Y35" s="128"/>
      <c r="Z35" s="129"/>
      <c r="AA35" s="120">
        <f t="shared" si="3"/>
        <v>0</v>
      </c>
      <c r="AB35" s="111"/>
      <c r="AC35" s="111"/>
      <c r="AD35" s="111"/>
    </row>
    <row r="36">
      <c r="A36" s="136">
        <v>44266.0</v>
      </c>
      <c r="B36" s="127" t="s">
        <v>289</v>
      </c>
      <c r="C36" s="128"/>
      <c r="D36" s="128"/>
      <c r="E36" s="128"/>
      <c r="F36" s="128"/>
      <c r="G36" s="128"/>
      <c r="H36" s="128"/>
      <c r="I36" s="128"/>
      <c r="J36" s="127">
        <v>15173.28</v>
      </c>
      <c r="K36" s="128"/>
      <c r="L36" s="128"/>
      <c r="M36" s="129"/>
      <c r="N36" s="128"/>
      <c r="O36" s="128"/>
      <c r="P36" s="128"/>
      <c r="Q36" s="128"/>
      <c r="R36" s="128"/>
      <c r="S36" s="128"/>
      <c r="T36" s="128"/>
      <c r="U36" s="128"/>
      <c r="V36" s="129"/>
      <c r="W36" s="128"/>
      <c r="X36" s="128"/>
      <c r="Y36" s="127">
        <v>15173.28</v>
      </c>
      <c r="Z36" s="127"/>
      <c r="AA36" s="120">
        <f t="shared" si="3"/>
        <v>0</v>
      </c>
      <c r="AB36" s="122"/>
      <c r="AC36" s="122"/>
      <c r="AD36" s="122"/>
    </row>
    <row r="37">
      <c r="A37" s="136">
        <v>44287.0</v>
      </c>
      <c r="B37" s="127" t="s">
        <v>94</v>
      </c>
      <c r="C37" s="128"/>
      <c r="D37" s="128"/>
      <c r="E37" s="128"/>
      <c r="F37" s="128"/>
      <c r="G37" s="128"/>
      <c r="H37" s="128"/>
      <c r="I37" s="128"/>
      <c r="J37" s="127">
        <v>197.6</v>
      </c>
      <c r="K37" s="128"/>
      <c r="L37" s="128"/>
      <c r="M37" s="129"/>
      <c r="N37" s="128"/>
      <c r="O37" s="128"/>
      <c r="P37" s="128"/>
      <c r="Q37" s="128"/>
      <c r="R37" s="128"/>
      <c r="S37" s="128"/>
      <c r="T37" s="128"/>
      <c r="U37" s="128"/>
      <c r="V37" s="129"/>
      <c r="W37" s="128"/>
      <c r="X37" s="128"/>
      <c r="Y37" s="128"/>
      <c r="Z37" s="127">
        <v>197.6</v>
      </c>
      <c r="AA37" s="120">
        <f t="shared" si="3"/>
        <v>0</v>
      </c>
      <c r="AB37" s="123"/>
      <c r="AC37" s="122"/>
      <c r="AD37" s="122"/>
    </row>
    <row r="38">
      <c r="A38" s="136">
        <v>44279.0</v>
      </c>
      <c r="B38" s="127" t="s">
        <v>95</v>
      </c>
      <c r="C38" s="128"/>
      <c r="D38" s="128"/>
      <c r="E38" s="128"/>
      <c r="F38" s="128"/>
      <c r="G38" s="128"/>
      <c r="H38" s="128"/>
      <c r="I38" s="128"/>
      <c r="J38" s="128"/>
      <c r="K38" s="128"/>
      <c r="L38" s="128"/>
      <c r="M38" s="127" t="s">
        <v>72</v>
      </c>
      <c r="N38" s="127">
        <v>925.92</v>
      </c>
      <c r="O38" s="128"/>
      <c r="P38" s="128"/>
      <c r="Q38" s="128"/>
      <c r="R38" s="128"/>
      <c r="S38" s="128"/>
      <c r="T38" s="127">
        <v>925.92</v>
      </c>
      <c r="U38" s="128"/>
      <c r="V38" s="129"/>
      <c r="W38" s="128"/>
      <c r="X38" s="128"/>
      <c r="Y38" s="128"/>
      <c r="Z38" s="129"/>
      <c r="AA38" s="120">
        <f t="shared" si="3"/>
        <v>0</v>
      </c>
      <c r="AB38" s="122"/>
      <c r="AC38" s="122"/>
      <c r="AD38" s="122"/>
    </row>
    <row r="39">
      <c r="A39" s="136">
        <v>44268.0</v>
      </c>
      <c r="B39" s="127" t="s">
        <v>95</v>
      </c>
      <c r="C39" s="128"/>
      <c r="D39" s="128"/>
      <c r="E39" s="128"/>
      <c r="F39" s="128"/>
      <c r="G39" s="128"/>
      <c r="H39" s="128"/>
      <c r="I39" s="128"/>
      <c r="J39" s="128"/>
      <c r="K39" s="128"/>
      <c r="L39" s="128"/>
      <c r="M39" s="127" t="s">
        <v>72</v>
      </c>
      <c r="N39" s="127">
        <v>2325.28</v>
      </c>
      <c r="O39" s="128"/>
      <c r="P39" s="128"/>
      <c r="Q39" s="128"/>
      <c r="R39" s="128"/>
      <c r="S39" s="128"/>
      <c r="T39" s="127">
        <v>2325.28</v>
      </c>
      <c r="U39" s="128"/>
      <c r="V39" s="129"/>
      <c r="W39" s="128"/>
      <c r="X39" s="128"/>
      <c r="Y39" s="128"/>
      <c r="Z39" s="129"/>
      <c r="AA39" s="120">
        <f t="shared" si="3"/>
        <v>0</v>
      </c>
      <c r="AB39" s="121"/>
      <c r="AC39" s="122"/>
      <c r="AD39" s="122"/>
    </row>
    <row r="40">
      <c r="A40" s="136">
        <v>44265.0</v>
      </c>
      <c r="B40" s="127" t="s">
        <v>290</v>
      </c>
      <c r="C40" s="128"/>
      <c r="D40" s="128"/>
      <c r="E40" s="128"/>
      <c r="F40" s="128"/>
      <c r="G40" s="128"/>
      <c r="H40" s="128"/>
      <c r="I40" s="128"/>
      <c r="J40" s="127">
        <v>-1326.08</v>
      </c>
      <c r="K40" s="128"/>
      <c r="L40" s="128"/>
      <c r="M40" s="129"/>
      <c r="N40" s="128"/>
      <c r="O40" s="128"/>
      <c r="P40" s="128"/>
      <c r="Q40" s="128"/>
      <c r="R40" s="128"/>
      <c r="S40" s="128"/>
      <c r="T40" s="127">
        <v>-1326.08</v>
      </c>
      <c r="U40" s="128"/>
      <c r="V40" s="129"/>
      <c r="W40" s="128"/>
      <c r="X40" s="128"/>
      <c r="Y40" s="128"/>
      <c r="Z40" s="129"/>
      <c r="AA40" s="120">
        <f t="shared" si="3"/>
        <v>0</v>
      </c>
      <c r="AB40" s="121"/>
      <c r="AC40" s="122"/>
      <c r="AD40" s="122"/>
    </row>
    <row r="41">
      <c r="A41" s="127">
        <v>18.0</v>
      </c>
      <c r="B41" s="127" t="s">
        <v>175</v>
      </c>
      <c r="C41" s="128"/>
      <c r="D41" s="127">
        <v>-1240.0</v>
      </c>
      <c r="E41" s="128"/>
      <c r="F41" s="128"/>
      <c r="G41" s="128"/>
      <c r="H41" s="128"/>
      <c r="I41" s="128"/>
      <c r="J41" s="128"/>
      <c r="K41" s="128"/>
      <c r="L41" s="128"/>
      <c r="M41" s="127" t="s">
        <v>72</v>
      </c>
      <c r="N41" s="127">
        <v>1240.0</v>
      </c>
      <c r="O41" s="128"/>
      <c r="P41" s="128"/>
      <c r="Q41" s="128"/>
      <c r="R41" s="128"/>
      <c r="S41" s="128"/>
      <c r="T41" s="128"/>
      <c r="U41" s="128"/>
      <c r="V41" s="129"/>
      <c r="W41" s="128"/>
      <c r="X41" s="128"/>
      <c r="Y41" s="128"/>
      <c r="Z41" s="129"/>
      <c r="AA41" s="120">
        <f t="shared" si="3"/>
        <v>0</v>
      </c>
      <c r="AB41" s="122"/>
      <c r="AC41" s="122"/>
      <c r="AD41" s="122"/>
    </row>
    <row r="42">
      <c r="A42" s="127">
        <v>18.0</v>
      </c>
      <c r="B42" s="127" t="s">
        <v>175</v>
      </c>
      <c r="C42" s="128"/>
      <c r="D42" s="127">
        <v>-2185.0</v>
      </c>
      <c r="E42" s="128"/>
      <c r="F42" s="128"/>
      <c r="G42" s="128"/>
      <c r="H42" s="128"/>
      <c r="I42" s="128"/>
      <c r="J42" s="128"/>
      <c r="K42" s="128"/>
      <c r="L42" s="128"/>
      <c r="M42" s="127" t="s">
        <v>72</v>
      </c>
      <c r="N42" s="127">
        <v>2185.0</v>
      </c>
      <c r="O42" s="128"/>
      <c r="P42" s="128"/>
      <c r="Q42" s="128"/>
      <c r="R42" s="128"/>
      <c r="S42" s="128"/>
      <c r="T42" s="128"/>
      <c r="U42" s="128"/>
      <c r="V42" s="129"/>
      <c r="W42" s="128"/>
      <c r="X42" s="128"/>
      <c r="Y42" s="128"/>
      <c r="Z42" s="129"/>
      <c r="AA42" s="120">
        <f t="shared" si="3"/>
        <v>0</v>
      </c>
      <c r="AB42" s="121"/>
      <c r="AC42" s="111"/>
      <c r="AD42" s="111"/>
    </row>
    <row r="43">
      <c r="A43" s="127">
        <v>18.0</v>
      </c>
      <c r="B43" s="127" t="s">
        <v>175</v>
      </c>
      <c r="C43" s="128"/>
      <c r="D43" s="127">
        <v>-1108.0</v>
      </c>
      <c r="E43" s="128"/>
      <c r="F43" s="128"/>
      <c r="G43" s="128"/>
      <c r="H43" s="128"/>
      <c r="I43" s="128"/>
      <c r="J43" s="128"/>
      <c r="K43" s="128"/>
      <c r="L43" s="128"/>
      <c r="M43" s="127" t="s">
        <v>72</v>
      </c>
      <c r="N43" s="127">
        <v>1108.0</v>
      </c>
      <c r="O43" s="128"/>
      <c r="P43" s="128"/>
      <c r="Q43" s="128"/>
      <c r="R43" s="128"/>
      <c r="S43" s="128"/>
      <c r="T43" s="128"/>
      <c r="U43" s="128"/>
      <c r="V43" s="129"/>
      <c r="W43" s="128"/>
      <c r="X43" s="128"/>
      <c r="Y43" s="128"/>
      <c r="Z43" s="129"/>
      <c r="AA43" s="120">
        <f t="shared" si="3"/>
        <v>0</v>
      </c>
      <c r="AB43" s="121"/>
      <c r="AC43" s="111"/>
      <c r="AD43" s="111"/>
    </row>
    <row r="44">
      <c r="A44" s="127">
        <v>25.0</v>
      </c>
      <c r="B44" s="127" t="s">
        <v>200</v>
      </c>
      <c r="C44" s="128"/>
      <c r="D44" s="127">
        <v>-7729.0</v>
      </c>
      <c r="E44" s="128"/>
      <c r="F44" s="128"/>
      <c r="G44" s="128"/>
      <c r="H44" s="128"/>
      <c r="I44" s="128"/>
      <c r="J44" s="128"/>
      <c r="K44" s="128"/>
      <c r="L44" s="128"/>
      <c r="M44" s="127" t="s">
        <v>72</v>
      </c>
      <c r="N44" s="127">
        <v>7729.0</v>
      </c>
      <c r="O44" s="128"/>
      <c r="P44" s="128"/>
      <c r="Q44" s="128"/>
      <c r="R44" s="128"/>
      <c r="S44" s="128"/>
      <c r="T44" s="128"/>
      <c r="U44" s="128"/>
      <c r="V44" s="129"/>
      <c r="W44" s="128"/>
      <c r="X44" s="128"/>
      <c r="Y44" s="128"/>
      <c r="Z44" s="129"/>
      <c r="AA44" s="120">
        <f t="shared" si="3"/>
        <v>0</v>
      </c>
      <c r="AB44" s="121"/>
      <c r="AC44" s="122"/>
      <c r="AD44" s="122"/>
    </row>
    <row r="45">
      <c r="A45" s="127">
        <v>25.0</v>
      </c>
      <c r="B45" s="127" t="s">
        <v>200</v>
      </c>
      <c r="C45" s="128"/>
      <c r="D45" s="127">
        <v>-160.0</v>
      </c>
      <c r="E45" s="128"/>
      <c r="F45" s="128"/>
      <c r="G45" s="128"/>
      <c r="H45" s="128"/>
      <c r="I45" s="128"/>
      <c r="J45" s="128"/>
      <c r="K45" s="128"/>
      <c r="L45" s="128"/>
      <c r="M45" s="127" t="s">
        <v>72</v>
      </c>
      <c r="N45" s="127">
        <v>160.0</v>
      </c>
      <c r="O45" s="128"/>
      <c r="P45" s="128"/>
      <c r="Q45" s="128"/>
      <c r="R45" s="128"/>
      <c r="S45" s="128"/>
      <c r="T45" s="128"/>
      <c r="U45" s="128"/>
      <c r="V45" s="129"/>
      <c r="W45" s="128"/>
      <c r="X45" s="128"/>
      <c r="Y45" s="128"/>
      <c r="Z45" s="129"/>
      <c r="AA45" s="120">
        <f t="shared" si="3"/>
        <v>0</v>
      </c>
      <c r="AB45" s="111"/>
      <c r="AC45" s="111"/>
      <c r="AD45" s="111"/>
    </row>
    <row r="46">
      <c r="A46" s="127">
        <v>18.0</v>
      </c>
      <c r="B46" s="127" t="s">
        <v>175</v>
      </c>
      <c r="C46" s="128"/>
      <c r="D46" s="127">
        <v>-3986.0</v>
      </c>
      <c r="E46" s="128"/>
      <c r="F46" s="128"/>
      <c r="G46" s="128"/>
      <c r="H46" s="128"/>
      <c r="I46" s="128"/>
      <c r="J46" s="128"/>
      <c r="K46" s="128"/>
      <c r="L46" s="128"/>
      <c r="M46" s="127" t="s">
        <v>72</v>
      </c>
      <c r="N46" s="127">
        <v>3986.0</v>
      </c>
      <c r="O46" s="128"/>
      <c r="P46" s="128"/>
      <c r="Q46" s="128"/>
      <c r="R46" s="128"/>
      <c r="S46" s="128"/>
      <c r="T46" s="128"/>
      <c r="U46" s="128"/>
      <c r="V46" s="129"/>
      <c r="W46" s="128"/>
      <c r="X46" s="128"/>
      <c r="Y46" s="128"/>
      <c r="Z46" s="129"/>
      <c r="AA46" s="120">
        <f t="shared" si="3"/>
        <v>0</v>
      </c>
      <c r="AB46" s="121"/>
      <c r="AC46" s="122"/>
      <c r="AD46" s="122"/>
    </row>
    <row r="47">
      <c r="A47" s="127">
        <v>31.0</v>
      </c>
      <c r="B47" s="127" t="s">
        <v>101</v>
      </c>
      <c r="C47" s="128"/>
      <c r="D47" s="127">
        <v>-444.0</v>
      </c>
      <c r="E47" s="128"/>
      <c r="F47" s="128"/>
      <c r="G47" s="128"/>
      <c r="H47" s="128"/>
      <c r="I47" s="128"/>
      <c r="J47" s="128"/>
      <c r="K47" s="128"/>
      <c r="L47" s="128"/>
      <c r="M47" s="127" t="s">
        <v>72</v>
      </c>
      <c r="N47" s="128"/>
      <c r="O47" s="128"/>
      <c r="P47" s="128"/>
      <c r="Q47" s="127">
        <v>444.0</v>
      </c>
      <c r="R47" s="128"/>
      <c r="S47" s="128"/>
      <c r="T47" s="128"/>
      <c r="U47" s="128"/>
      <c r="V47" s="129"/>
      <c r="W47" s="128"/>
      <c r="X47" s="128"/>
      <c r="Y47" s="128"/>
      <c r="Z47" s="129"/>
      <c r="AA47" s="120">
        <f t="shared" si="3"/>
        <v>0</v>
      </c>
      <c r="AB47" s="122"/>
      <c r="AC47" s="122"/>
      <c r="AD47" s="122"/>
    </row>
    <row r="48">
      <c r="A48" s="127">
        <v>13.0</v>
      </c>
      <c r="B48" s="127" t="s">
        <v>120</v>
      </c>
      <c r="C48" s="128"/>
      <c r="D48" s="127">
        <v>-1188.0</v>
      </c>
      <c r="E48" s="128"/>
      <c r="F48" s="128"/>
      <c r="G48" s="128"/>
      <c r="H48" s="128"/>
      <c r="I48" s="128"/>
      <c r="J48" s="128"/>
      <c r="K48" s="128"/>
      <c r="L48" s="128"/>
      <c r="M48" s="127" t="s">
        <v>72</v>
      </c>
      <c r="N48" s="128"/>
      <c r="O48" s="128"/>
      <c r="P48" s="128"/>
      <c r="Q48" s="127">
        <v>1188.0</v>
      </c>
      <c r="R48" s="128"/>
      <c r="S48" s="128"/>
      <c r="T48" s="128"/>
      <c r="U48" s="128"/>
      <c r="V48" s="129"/>
      <c r="W48" s="128"/>
      <c r="X48" s="128"/>
      <c r="Y48" s="128"/>
      <c r="Z48" s="129"/>
      <c r="AA48" s="120">
        <f t="shared" si="3"/>
        <v>0</v>
      </c>
      <c r="AB48" s="121"/>
      <c r="AC48" s="122"/>
      <c r="AD48" s="122"/>
    </row>
    <row r="49">
      <c r="A49" s="127">
        <v>15.0</v>
      </c>
      <c r="B49" s="127" t="s">
        <v>291</v>
      </c>
      <c r="C49" s="128"/>
      <c r="D49" s="127">
        <v>-1000.0</v>
      </c>
      <c r="E49" s="128"/>
      <c r="F49" s="128"/>
      <c r="G49" s="128"/>
      <c r="H49" s="128"/>
      <c r="I49" s="128"/>
      <c r="J49" s="128"/>
      <c r="K49" s="128"/>
      <c r="L49" s="128"/>
      <c r="M49" s="127" t="s">
        <v>72</v>
      </c>
      <c r="N49" s="128"/>
      <c r="O49" s="127">
        <v>1000.0</v>
      </c>
      <c r="P49" s="128"/>
      <c r="Q49" s="128"/>
      <c r="R49" s="128"/>
      <c r="S49" s="128"/>
      <c r="T49" s="128"/>
      <c r="U49" s="128"/>
      <c r="V49" s="129"/>
      <c r="W49" s="128"/>
      <c r="X49" s="128"/>
      <c r="Y49" s="128"/>
      <c r="Z49" s="129"/>
      <c r="AA49" s="120">
        <f t="shared" si="3"/>
        <v>0</v>
      </c>
      <c r="AB49" s="111"/>
      <c r="AC49" s="111"/>
      <c r="AD49" s="111"/>
    </row>
    <row r="50">
      <c r="A50" s="127">
        <v>24.0</v>
      </c>
      <c r="B50" s="127" t="s">
        <v>291</v>
      </c>
      <c r="C50" s="128"/>
      <c r="D50" s="127">
        <v>-1000.0</v>
      </c>
      <c r="E50" s="128"/>
      <c r="F50" s="128"/>
      <c r="G50" s="128"/>
      <c r="H50" s="128"/>
      <c r="I50" s="128"/>
      <c r="J50" s="128"/>
      <c r="K50" s="128"/>
      <c r="L50" s="128"/>
      <c r="M50" s="127" t="s">
        <v>81</v>
      </c>
      <c r="N50" s="128"/>
      <c r="O50" s="127">
        <v>1000.0</v>
      </c>
      <c r="P50" s="128"/>
      <c r="Q50" s="128"/>
      <c r="R50" s="128"/>
      <c r="S50" s="128"/>
      <c r="T50" s="128"/>
      <c r="U50" s="128"/>
      <c r="V50" s="129"/>
      <c r="W50" s="128"/>
      <c r="X50" s="128"/>
      <c r="Y50" s="128"/>
      <c r="Z50" s="129"/>
      <c r="AA50" s="120">
        <f t="shared" si="3"/>
        <v>0</v>
      </c>
      <c r="AB50" s="121"/>
      <c r="AC50" s="122"/>
      <c r="AD50" s="122"/>
    </row>
    <row r="51">
      <c r="A51" s="127">
        <v>1.0</v>
      </c>
      <c r="B51" s="127" t="s">
        <v>176</v>
      </c>
      <c r="C51" s="127">
        <v>-1500.0</v>
      </c>
      <c r="D51" s="128"/>
      <c r="E51" s="128"/>
      <c r="F51" s="128"/>
      <c r="G51" s="128"/>
      <c r="H51" s="128"/>
      <c r="I51" s="128"/>
      <c r="J51" s="128"/>
      <c r="K51" s="128"/>
      <c r="L51" s="128"/>
      <c r="M51" s="127" t="s">
        <v>81</v>
      </c>
      <c r="N51" s="128"/>
      <c r="O51" s="128"/>
      <c r="P51" s="128"/>
      <c r="Q51" s="127">
        <v>1500.0</v>
      </c>
      <c r="R51" s="128"/>
      <c r="S51" s="128"/>
      <c r="T51" s="128"/>
      <c r="U51" s="128"/>
      <c r="V51" s="129"/>
      <c r="W51" s="128"/>
      <c r="X51" s="128"/>
      <c r="Y51" s="128"/>
      <c r="Z51" s="129"/>
      <c r="AA51" s="120">
        <f t="shared" si="3"/>
        <v>0</v>
      </c>
      <c r="AB51" s="121"/>
      <c r="AC51" s="111"/>
      <c r="AD51" s="111"/>
    </row>
    <row r="52">
      <c r="A52" s="127">
        <v>31.0</v>
      </c>
      <c r="B52" s="127" t="s">
        <v>176</v>
      </c>
      <c r="C52" s="127">
        <v>-1500.0</v>
      </c>
      <c r="D52" s="128"/>
      <c r="E52" s="128"/>
      <c r="F52" s="128"/>
      <c r="G52" s="128"/>
      <c r="H52" s="128"/>
      <c r="I52" s="128"/>
      <c r="J52" s="128"/>
      <c r="K52" s="128"/>
      <c r="L52" s="128"/>
      <c r="M52" s="127" t="s">
        <v>81</v>
      </c>
      <c r="N52" s="128"/>
      <c r="O52" s="128"/>
      <c r="P52" s="128"/>
      <c r="Q52" s="127">
        <v>1500.0</v>
      </c>
      <c r="R52" s="128"/>
      <c r="S52" s="128"/>
      <c r="T52" s="128"/>
      <c r="U52" s="128"/>
      <c r="V52" s="129"/>
      <c r="W52" s="128"/>
      <c r="X52" s="128"/>
      <c r="Y52" s="128"/>
      <c r="Z52" s="129"/>
      <c r="AA52" s="120">
        <f t="shared" si="3"/>
        <v>0</v>
      </c>
      <c r="AB52" s="121"/>
      <c r="AC52" s="111"/>
      <c r="AD52" s="111"/>
    </row>
    <row r="53">
      <c r="A53" s="127">
        <v>17.0</v>
      </c>
      <c r="B53" s="127" t="s">
        <v>29</v>
      </c>
      <c r="C53" s="127">
        <v>148000.0</v>
      </c>
      <c r="D53" s="128"/>
      <c r="E53" s="128"/>
      <c r="F53" s="128"/>
      <c r="G53" s="128"/>
      <c r="H53" s="128"/>
      <c r="I53" s="128"/>
      <c r="J53" s="128"/>
      <c r="K53" s="128"/>
      <c r="L53" s="128"/>
      <c r="M53" s="127"/>
      <c r="N53" s="128"/>
      <c r="O53" s="128"/>
      <c r="P53" s="128"/>
      <c r="Q53" s="128"/>
      <c r="R53" s="128"/>
      <c r="S53" s="128"/>
      <c r="T53" s="128"/>
      <c r="U53" s="128"/>
      <c r="V53" s="129"/>
      <c r="W53" s="128"/>
      <c r="X53" s="127">
        <v>148000.0</v>
      </c>
      <c r="Y53" s="128"/>
      <c r="Z53" s="129"/>
      <c r="AA53" s="120">
        <f t="shared" si="3"/>
        <v>0</v>
      </c>
      <c r="AB53" s="111"/>
      <c r="AC53" s="111"/>
      <c r="AD53" s="111"/>
    </row>
    <row r="54">
      <c r="A54" s="127">
        <v>19.0</v>
      </c>
      <c r="B54" s="127" t="s">
        <v>103</v>
      </c>
      <c r="C54" s="127">
        <v>-30000.0</v>
      </c>
      <c r="D54" s="127">
        <v>30000.0</v>
      </c>
      <c r="E54" s="128"/>
      <c r="F54" s="128"/>
      <c r="G54" s="128"/>
      <c r="H54" s="128"/>
      <c r="I54" s="128"/>
      <c r="J54" s="128"/>
      <c r="K54" s="128"/>
      <c r="L54" s="128"/>
      <c r="M54" s="127"/>
      <c r="N54" s="128"/>
      <c r="O54" s="128"/>
      <c r="P54" s="128"/>
      <c r="Q54" s="128"/>
      <c r="R54" s="128"/>
      <c r="S54" s="128"/>
      <c r="T54" s="128"/>
      <c r="U54" s="128"/>
      <c r="V54" s="129"/>
      <c r="W54" s="128"/>
      <c r="X54" s="128"/>
      <c r="Y54" s="128"/>
      <c r="Z54" s="129"/>
      <c r="AA54" s="120">
        <f t="shared" si="3"/>
        <v>0</v>
      </c>
      <c r="AB54" s="122"/>
      <c r="AC54" s="122"/>
      <c r="AD54" s="122"/>
    </row>
    <row r="55">
      <c r="A55" s="127">
        <v>26.0</v>
      </c>
      <c r="B55" s="127" t="s">
        <v>122</v>
      </c>
      <c r="C55" s="127">
        <v>-77078.0</v>
      </c>
      <c r="D55" s="128"/>
      <c r="E55" s="128"/>
      <c r="F55" s="128"/>
      <c r="G55" s="128"/>
      <c r="H55" s="128"/>
      <c r="I55" s="128"/>
      <c r="J55" s="128"/>
      <c r="K55" s="128"/>
      <c r="L55" s="128"/>
      <c r="M55" s="127"/>
      <c r="N55" s="128"/>
      <c r="O55" s="128"/>
      <c r="P55" s="128"/>
      <c r="Q55" s="128"/>
      <c r="R55" s="128"/>
      <c r="S55" s="128"/>
      <c r="T55" s="128"/>
      <c r="U55" s="127">
        <v>-77078.0</v>
      </c>
      <c r="V55" s="129"/>
      <c r="W55" s="128"/>
      <c r="X55" s="128"/>
      <c r="Y55" s="128"/>
      <c r="Z55" s="129"/>
      <c r="AA55" s="120">
        <f t="shared" si="3"/>
        <v>0</v>
      </c>
      <c r="AB55" s="121"/>
      <c r="AC55" s="122"/>
      <c r="AD55" s="122"/>
    </row>
    <row r="56">
      <c r="A56" s="127">
        <v>26.0</v>
      </c>
      <c r="B56" s="127" t="s">
        <v>122</v>
      </c>
      <c r="C56" s="127">
        <v>-13952.0</v>
      </c>
      <c r="D56" s="128"/>
      <c r="E56" s="128"/>
      <c r="F56" s="128"/>
      <c r="G56" s="128"/>
      <c r="H56" s="128"/>
      <c r="I56" s="128"/>
      <c r="J56" s="128"/>
      <c r="K56" s="128"/>
      <c r="L56" s="128"/>
      <c r="M56" s="127"/>
      <c r="N56" s="128"/>
      <c r="O56" s="128"/>
      <c r="P56" s="128"/>
      <c r="Q56" s="128"/>
      <c r="R56" s="128"/>
      <c r="S56" s="128"/>
      <c r="T56" s="128"/>
      <c r="U56" s="127">
        <v>-13952.0</v>
      </c>
      <c r="V56" s="129"/>
      <c r="W56" s="128"/>
      <c r="X56" s="128"/>
      <c r="Y56" s="128"/>
      <c r="Z56" s="129"/>
      <c r="AA56" s="120">
        <f t="shared" si="3"/>
        <v>0</v>
      </c>
      <c r="AB56" s="122"/>
      <c r="AC56" s="122"/>
      <c r="AD56" s="122"/>
    </row>
    <row r="57">
      <c r="A57" s="124">
        <v>5.0</v>
      </c>
      <c r="B57" s="124" t="s">
        <v>292</v>
      </c>
      <c r="C57" s="122"/>
      <c r="D57" s="122"/>
      <c r="E57" s="124"/>
      <c r="F57" s="124">
        <v>-484.0</v>
      </c>
      <c r="G57" s="122"/>
      <c r="H57" s="122"/>
      <c r="I57" s="122"/>
      <c r="J57" s="122"/>
      <c r="K57" s="122"/>
      <c r="L57" s="122"/>
      <c r="M57" s="124" t="s">
        <v>72</v>
      </c>
      <c r="N57" s="124">
        <v>484.0</v>
      </c>
      <c r="O57" s="122"/>
      <c r="P57" s="122"/>
      <c r="Q57" s="122"/>
      <c r="R57" s="122"/>
      <c r="S57" s="122"/>
      <c r="T57" s="122"/>
      <c r="U57" s="122"/>
      <c r="V57" s="124"/>
      <c r="W57" s="122"/>
      <c r="X57" s="122"/>
      <c r="Y57" s="122"/>
      <c r="Z57" s="124"/>
      <c r="AA57" s="120">
        <f t="shared" si="3"/>
        <v>0</v>
      </c>
      <c r="AB57" s="122"/>
      <c r="AC57" s="122"/>
      <c r="AD57" s="122"/>
    </row>
    <row r="58">
      <c r="A58" s="124">
        <v>5.0</v>
      </c>
      <c r="B58" s="124" t="s">
        <v>292</v>
      </c>
      <c r="C58" s="122"/>
      <c r="D58" s="122"/>
      <c r="E58" s="124"/>
      <c r="F58" s="124">
        <v>-616.0</v>
      </c>
      <c r="G58" s="122"/>
      <c r="H58" s="122"/>
      <c r="I58" s="122"/>
      <c r="J58" s="122"/>
      <c r="K58" s="122"/>
      <c r="L58" s="122"/>
      <c r="M58" s="124" t="s">
        <v>72</v>
      </c>
      <c r="N58" s="124">
        <v>616.0</v>
      </c>
      <c r="O58" s="122"/>
      <c r="P58" s="122"/>
      <c r="Q58" s="122"/>
      <c r="R58" s="122"/>
      <c r="S58" s="122"/>
      <c r="T58" s="122"/>
      <c r="U58" s="122"/>
      <c r="V58" s="124"/>
      <c r="W58" s="122"/>
      <c r="X58" s="122"/>
      <c r="Y58" s="122"/>
      <c r="Z58" s="124"/>
      <c r="AA58" s="120">
        <f t="shared" si="3"/>
        <v>0</v>
      </c>
      <c r="AB58" s="122"/>
      <c r="AC58" s="122"/>
      <c r="AD58" s="122"/>
    </row>
    <row r="59">
      <c r="A59" s="124">
        <v>6.0</v>
      </c>
      <c r="B59" s="124" t="s">
        <v>293</v>
      </c>
      <c r="C59" s="122"/>
      <c r="D59" s="124">
        <v>-850.0</v>
      </c>
      <c r="E59" s="122"/>
      <c r="F59" s="122"/>
      <c r="G59" s="122"/>
      <c r="H59" s="122"/>
      <c r="I59" s="122"/>
      <c r="J59" s="122"/>
      <c r="K59" s="122"/>
      <c r="L59" s="122"/>
      <c r="M59" s="124" t="s">
        <v>72</v>
      </c>
      <c r="N59" s="124">
        <v>850.0</v>
      </c>
      <c r="O59" s="122"/>
      <c r="P59" s="122"/>
      <c r="Q59" s="122"/>
      <c r="R59" s="122"/>
      <c r="S59" s="122"/>
      <c r="T59" s="122"/>
      <c r="U59" s="122"/>
      <c r="V59" s="124"/>
      <c r="W59" s="122"/>
      <c r="X59" s="122"/>
      <c r="Y59" s="122"/>
      <c r="Z59" s="124"/>
      <c r="AA59" s="120">
        <f t="shared" si="3"/>
        <v>0</v>
      </c>
      <c r="AB59" s="122"/>
      <c r="AC59" s="122"/>
      <c r="AD59" s="122"/>
    </row>
    <row r="60">
      <c r="A60" s="124">
        <v>13.0</v>
      </c>
      <c r="B60" s="124" t="s">
        <v>294</v>
      </c>
      <c r="C60" s="122"/>
      <c r="D60" s="124">
        <v>-300.0</v>
      </c>
      <c r="E60" s="122"/>
      <c r="F60" s="122"/>
      <c r="G60" s="122"/>
      <c r="H60" s="122"/>
      <c r="I60" s="122"/>
      <c r="J60" s="122"/>
      <c r="K60" s="122"/>
      <c r="L60" s="122"/>
      <c r="M60" s="124" t="s">
        <v>72</v>
      </c>
      <c r="N60" s="122"/>
      <c r="O60" s="122"/>
      <c r="P60" s="122"/>
      <c r="Q60" s="124">
        <v>300.0</v>
      </c>
      <c r="R60" s="122"/>
      <c r="S60" s="122"/>
      <c r="T60" s="122"/>
      <c r="U60" s="122"/>
      <c r="V60" s="124"/>
      <c r="W60" s="122"/>
      <c r="X60" s="122"/>
      <c r="Y60" s="122"/>
      <c r="Z60" s="124"/>
      <c r="AA60" s="120">
        <f t="shared" si="3"/>
        <v>0</v>
      </c>
      <c r="AB60" s="111"/>
      <c r="AC60" s="111"/>
      <c r="AD60" s="111"/>
    </row>
    <row r="61">
      <c r="A61" s="124">
        <v>18.0</v>
      </c>
      <c r="B61" s="124" t="s">
        <v>280</v>
      </c>
      <c r="C61" s="122"/>
      <c r="D61" s="122">
        <f>-(1550+1030+140)</f>
        <v>-2720</v>
      </c>
      <c r="E61" s="122"/>
      <c r="F61" s="122"/>
      <c r="G61" s="122"/>
      <c r="H61" s="122"/>
      <c r="I61" s="122"/>
      <c r="J61" s="122"/>
      <c r="K61" s="122"/>
      <c r="L61" s="122"/>
      <c r="M61" s="124" t="s">
        <v>72</v>
      </c>
      <c r="N61" s="122">
        <f>1550+1030+140</f>
        <v>2720</v>
      </c>
      <c r="O61" s="122"/>
      <c r="P61" s="122"/>
      <c r="Q61" s="122"/>
      <c r="R61" s="122"/>
      <c r="S61" s="122"/>
      <c r="T61" s="122"/>
      <c r="U61" s="122"/>
      <c r="V61" s="124"/>
      <c r="W61" s="122"/>
      <c r="X61" s="122"/>
      <c r="Y61" s="122"/>
      <c r="Z61" s="124"/>
      <c r="AA61" s="120">
        <f t="shared" si="3"/>
        <v>0</v>
      </c>
      <c r="AB61" s="122"/>
      <c r="AC61" s="122"/>
      <c r="AD61" s="122"/>
    </row>
    <row r="62">
      <c r="A62" s="124">
        <v>99.0</v>
      </c>
      <c r="B62" s="124" t="s">
        <v>295</v>
      </c>
      <c r="C62" s="122"/>
      <c r="D62" s="122"/>
      <c r="E62" s="122"/>
      <c r="F62" s="122"/>
      <c r="G62" s="122"/>
      <c r="H62" s="124">
        <v>-1672.0</v>
      </c>
      <c r="I62" s="122"/>
      <c r="J62" s="122"/>
      <c r="K62" s="122"/>
      <c r="L62" s="122"/>
      <c r="M62" s="124" t="s">
        <v>81</v>
      </c>
      <c r="N62" s="124">
        <v>1672.0</v>
      </c>
      <c r="O62" s="122"/>
      <c r="P62" s="122"/>
      <c r="Q62" s="122"/>
      <c r="R62" s="122"/>
      <c r="S62" s="122"/>
      <c r="T62" s="122"/>
      <c r="U62" s="122"/>
      <c r="V62" s="124"/>
      <c r="W62" s="122"/>
      <c r="X62" s="122"/>
      <c r="Y62" s="122"/>
      <c r="Z62" s="124"/>
      <c r="AA62" s="120">
        <f t="shared" si="3"/>
        <v>0</v>
      </c>
      <c r="AB62" s="122"/>
      <c r="AC62" s="122"/>
      <c r="AD62" s="122"/>
    </row>
    <row r="63">
      <c r="A63" s="124">
        <v>99.0</v>
      </c>
      <c r="B63" s="124" t="s">
        <v>296</v>
      </c>
      <c r="C63" s="122"/>
      <c r="D63" s="122"/>
      <c r="E63" s="122"/>
      <c r="F63" s="122"/>
      <c r="G63" s="122"/>
      <c r="H63" s="122"/>
      <c r="I63" s="122"/>
      <c r="J63" s="122"/>
      <c r="K63" s="122"/>
      <c r="L63" s="124">
        <f>879*16</f>
        <v>14064</v>
      </c>
      <c r="M63" s="124"/>
      <c r="N63" s="122"/>
      <c r="O63" s="122"/>
      <c r="P63" s="122"/>
      <c r="Q63" s="122"/>
      <c r="R63" s="122"/>
      <c r="S63" s="122"/>
      <c r="T63" s="122"/>
      <c r="U63" s="122"/>
      <c r="V63" s="124"/>
      <c r="W63" s="122"/>
      <c r="X63" s="122"/>
      <c r="Y63" s="122"/>
      <c r="Z63" s="124">
        <f>879*16</f>
        <v>14064</v>
      </c>
      <c r="AA63" s="120">
        <f t="shared" si="3"/>
        <v>0</v>
      </c>
      <c r="AB63" s="122"/>
      <c r="AC63" s="122"/>
      <c r="AD63" s="122"/>
    </row>
    <row r="64">
      <c r="A64" s="136">
        <v>44286.0</v>
      </c>
      <c r="B64" s="127" t="s">
        <v>73</v>
      </c>
      <c r="C64" s="128"/>
      <c r="D64" s="128"/>
      <c r="E64" s="128"/>
      <c r="F64" s="128"/>
      <c r="G64" s="128"/>
      <c r="H64" s="128"/>
      <c r="I64" s="128"/>
      <c r="J64" s="128"/>
      <c r="K64" s="128"/>
      <c r="L64" s="128"/>
      <c r="M64" s="127" t="s">
        <v>72</v>
      </c>
      <c r="N64" s="127">
        <v>208.0</v>
      </c>
      <c r="O64" s="128"/>
      <c r="P64" s="128"/>
      <c r="Q64" s="128"/>
      <c r="R64" s="128"/>
      <c r="S64" s="128"/>
      <c r="T64" s="128"/>
      <c r="U64" s="127">
        <v>208.0</v>
      </c>
      <c r="V64" s="129"/>
      <c r="W64" s="128"/>
      <c r="X64" s="128"/>
      <c r="Y64" s="128"/>
      <c r="Z64" s="129"/>
      <c r="AA64" s="120">
        <f t="shared" si="3"/>
        <v>0</v>
      </c>
      <c r="AB64" s="122"/>
      <c r="AC64" s="122"/>
      <c r="AD64" s="122"/>
    </row>
    <row r="65">
      <c r="A65" s="136">
        <v>44286.0</v>
      </c>
      <c r="B65" s="127" t="s">
        <v>297</v>
      </c>
      <c r="C65" s="128"/>
      <c r="D65" s="128"/>
      <c r="E65" s="128"/>
      <c r="F65" s="128"/>
      <c r="G65" s="128"/>
      <c r="H65" s="128"/>
      <c r="I65" s="128"/>
      <c r="J65" s="128"/>
      <c r="K65" s="128"/>
      <c r="L65" s="128"/>
      <c r="M65" s="127" t="s">
        <v>72</v>
      </c>
      <c r="N65" s="127">
        <v>1735.0</v>
      </c>
      <c r="O65" s="128"/>
      <c r="P65" s="128"/>
      <c r="Q65" s="128"/>
      <c r="R65" s="128"/>
      <c r="S65" s="128"/>
      <c r="T65" s="128"/>
      <c r="U65" s="127">
        <v>1735.0</v>
      </c>
      <c r="V65" s="129"/>
      <c r="W65" s="128"/>
      <c r="X65" s="128"/>
      <c r="Y65" s="128"/>
      <c r="Z65" s="129"/>
      <c r="AA65" s="120">
        <f t="shared" si="3"/>
        <v>0</v>
      </c>
      <c r="AB65" s="122"/>
      <c r="AC65" s="122"/>
      <c r="AD65" s="122"/>
    </row>
    <row r="66">
      <c r="A66" s="125">
        <v>99.0</v>
      </c>
      <c r="B66" s="124" t="s">
        <v>298</v>
      </c>
      <c r="C66" s="143"/>
      <c r="D66" s="143"/>
      <c r="E66" s="122"/>
      <c r="F66" s="122"/>
      <c r="G66" s="122"/>
      <c r="H66" s="122"/>
      <c r="I66" s="122"/>
      <c r="J66" s="122"/>
      <c r="K66" s="122"/>
      <c r="L66" s="122"/>
      <c r="M66" s="124"/>
      <c r="N66" s="122"/>
      <c r="O66" s="122"/>
      <c r="P66" s="122"/>
      <c r="Q66" s="122"/>
      <c r="R66" s="122"/>
      <c r="S66" s="122"/>
      <c r="T66" s="122"/>
      <c r="U66" s="122"/>
      <c r="V66" s="124">
        <v>-6402.0</v>
      </c>
      <c r="W66" s="122"/>
      <c r="X66" s="122"/>
      <c r="Y66" s="122"/>
      <c r="Z66" s="124">
        <v>6402.0</v>
      </c>
      <c r="AA66" s="120">
        <f t="shared" si="3"/>
        <v>0</v>
      </c>
      <c r="AB66" s="122"/>
      <c r="AC66" s="122"/>
      <c r="AD66" s="122"/>
    </row>
    <row r="67">
      <c r="A67" s="153"/>
      <c r="B67" s="125"/>
      <c r="C67" s="143"/>
      <c r="D67" s="143"/>
      <c r="E67" s="122"/>
      <c r="F67" s="122"/>
      <c r="G67" s="122"/>
      <c r="H67" s="122"/>
      <c r="I67" s="122"/>
      <c r="J67" s="122"/>
      <c r="K67" s="122"/>
      <c r="L67" s="122"/>
      <c r="M67" s="124"/>
      <c r="N67" s="122"/>
      <c r="O67" s="122"/>
      <c r="P67" s="122"/>
      <c r="Q67" s="122"/>
      <c r="R67" s="122"/>
      <c r="S67" s="122"/>
      <c r="T67" s="122"/>
      <c r="U67" s="122"/>
      <c r="V67" s="124"/>
      <c r="W67" s="122"/>
      <c r="X67" s="122"/>
      <c r="Y67" s="122"/>
      <c r="Z67" s="124"/>
      <c r="AA67" s="120">
        <f t="shared" si="3"/>
        <v>0</v>
      </c>
      <c r="AB67" s="122"/>
      <c r="AC67" s="122"/>
      <c r="AD67" s="122"/>
    </row>
    <row r="68">
      <c r="A68" s="153"/>
      <c r="B68" s="125"/>
      <c r="C68" s="143"/>
      <c r="D68" s="143"/>
      <c r="E68" s="122"/>
      <c r="F68" s="122"/>
      <c r="G68" s="122"/>
      <c r="H68" s="122"/>
      <c r="I68" s="122"/>
      <c r="J68" s="122"/>
      <c r="K68" s="122"/>
      <c r="L68" s="122"/>
      <c r="M68" s="124"/>
      <c r="N68" s="122"/>
      <c r="O68" s="122"/>
      <c r="P68" s="122"/>
      <c r="Q68" s="122"/>
      <c r="R68" s="122"/>
      <c r="S68" s="122"/>
      <c r="T68" s="122"/>
      <c r="U68" s="122"/>
      <c r="V68" s="124"/>
      <c r="W68" s="122"/>
      <c r="X68" s="122"/>
      <c r="Y68" s="122"/>
      <c r="Z68" s="124"/>
      <c r="AA68" s="120">
        <f t="shared" si="3"/>
        <v>0</v>
      </c>
      <c r="AB68" s="122"/>
      <c r="AC68" s="122"/>
      <c r="AD68" s="122"/>
    </row>
    <row r="69">
      <c r="A69" s="153"/>
      <c r="B69" s="125"/>
      <c r="C69" s="143"/>
      <c r="D69" s="143"/>
      <c r="E69" s="122"/>
      <c r="F69" s="122"/>
      <c r="G69" s="122"/>
      <c r="H69" s="122"/>
      <c r="I69" s="122"/>
      <c r="J69" s="122"/>
      <c r="K69" s="122"/>
      <c r="L69" s="122"/>
      <c r="M69" s="124"/>
      <c r="N69" s="122"/>
      <c r="O69" s="122"/>
      <c r="P69" s="122"/>
      <c r="Q69" s="122"/>
      <c r="R69" s="122"/>
      <c r="S69" s="122"/>
      <c r="T69" s="122"/>
      <c r="U69" s="122"/>
      <c r="V69" s="124"/>
      <c r="W69" s="122"/>
      <c r="X69" s="122"/>
      <c r="Y69" s="122"/>
      <c r="Z69" s="124"/>
      <c r="AA69" s="120">
        <f t="shared" si="3"/>
        <v>0</v>
      </c>
      <c r="AB69" s="122"/>
      <c r="AC69" s="122"/>
      <c r="AD69" s="122"/>
    </row>
    <row r="70">
      <c r="A70" s="153"/>
      <c r="B70" s="125"/>
      <c r="C70" s="143"/>
      <c r="D70" s="143"/>
      <c r="E70" s="122"/>
      <c r="F70" s="122"/>
      <c r="G70" s="122"/>
      <c r="H70" s="122"/>
      <c r="I70" s="122"/>
      <c r="J70" s="122"/>
      <c r="K70" s="122"/>
      <c r="L70" s="122"/>
      <c r="M70" s="124"/>
      <c r="N70" s="122"/>
      <c r="O70" s="122"/>
      <c r="P70" s="122"/>
      <c r="Q70" s="122"/>
      <c r="R70" s="122"/>
      <c r="S70" s="122"/>
      <c r="T70" s="122"/>
      <c r="U70" s="122"/>
      <c r="V70" s="124"/>
      <c r="W70" s="122"/>
      <c r="X70" s="122"/>
      <c r="Y70" s="122"/>
      <c r="Z70" s="124"/>
      <c r="AA70" s="120">
        <f t="shared" si="3"/>
        <v>0</v>
      </c>
      <c r="AB70" s="122"/>
      <c r="AC70" s="122"/>
      <c r="AD70" s="122"/>
    </row>
    <row r="71">
      <c r="A71" s="153"/>
      <c r="B71" s="125"/>
      <c r="C71" s="143"/>
      <c r="D71" s="143"/>
      <c r="E71" s="122"/>
      <c r="F71" s="122"/>
      <c r="G71" s="122"/>
      <c r="H71" s="122"/>
      <c r="I71" s="122"/>
      <c r="J71" s="122"/>
      <c r="K71" s="122"/>
      <c r="L71" s="122"/>
      <c r="M71" s="124"/>
      <c r="N71" s="122"/>
      <c r="O71" s="122"/>
      <c r="P71" s="122"/>
      <c r="Q71" s="122"/>
      <c r="R71" s="122"/>
      <c r="S71" s="122"/>
      <c r="T71" s="122"/>
      <c r="U71" s="122"/>
      <c r="V71" s="124"/>
      <c r="W71" s="122"/>
      <c r="X71" s="122"/>
      <c r="Y71" s="122"/>
      <c r="Z71" s="124"/>
      <c r="AA71" s="120">
        <f t="shared" si="3"/>
        <v>0</v>
      </c>
      <c r="AB71" s="122"/>
      <c r="AC71" s="122"/>
      <c r="AD71" s="122"/>
    </row>
    <row r="72">
      <c r="A72" s="153"/>
      <c r="B72" s="125"/>
      <c r="C72" s="143"/>
      <c r="D72" s="143"/>
      <c r="E72" s="122"/>
      <c r="F72" s="122"/>
      <c r="G72" s="122"/>
      <c r="H72" s="122"/>
      <c r="I72" s="122"/>
      <c r="J72" s="122"/>
      <c r="K72" s="122"/>
      <c r="L72" s="122"/>
      <c r="M72" s="124"/>
      <c r="N72" s="122"/>
      <c r="O72" s="122"/>
      <c r="P72" s="122"/>
      <c r="Q72" s="122"/>
      <c r="R72" s="122"/>
      <c r="S72" s="122"/>
      <c r="T72" s="122"/>
      <c r="U72" s="122"/>
      <c r="V72" s="124"/>
      <c r="W72" s="122"/>
      <c r="X72" s="122"/>
      <c r="Y72" s="122"/>
      <c r="Z72" s="124"/>
      <c r="AA72" s="120">
        <f t="shared" si="3"/>
        <v>0</v>
      </c>
      <c r="AB72" s="122"/>
      <c r="AC72" s="122"/>
      <c r="AD72" s="122"/>
    </row>
    <row r="73">
      <c r="A73" s="153"/>
      <c r="B73" s="125"/>
      <c r="C73" s="143"/>
      <c r="D73" s="143"/>
      <c r="E73" s="122"/>
      <c r="F73" s="122"/>
      <c r="G73" s="122"/>
      <c r="H73" s="122"/>
      <c r="I73" s="122"/>
      <c r="J73" s="122"/>
      <c r="K73" s="122"/>
      <c r="L73" s="122"/>
      <c r="M73" s="124"/>
      <c r="N73" s="122"/>
      <c r="O73" s="122"/>
      <c r="P73" s="122"/>
      <c r="Q73" s="122"/>
      <c r="R73" s="122"/>
      <c r="S73" s="122"/>
      <c r="T73" s="122"/>
      <c r="U73" s="122"/>
      <c r="V73" s="124"/>
      <c r="W73" s="122"/>
      <c r="X73" s="122"/>
      <c r="Y73" s="122"/>
      <c r="Z73" s="124"/>
      <c r="AA73" s="120">
        <f t="shared" si="3"/>
        <v>0</v>
      </c>
      <c r="AB73" s="122"/>
      <c r="AC73" s="122"/>
      <c r="AD73" s="122"/>
    </row>
    <row r="74">
      <c r="A74" s="153"/>
      <c r="B74" s="125"/>
      <c r="C74" s="143"/>
      <c r="D74" s="143"/>
      <c r="E74" s="122"/>
      <c r="F74" s="122"/>
      <c r="G74" s="122"/>
      <c r="H74" s="122"/>
      <c r="I74" s="122"/>
      <c r="J74" s="122"/>
      <c r="K74" s="122"/>
      <c r="L74" s="122"/>
      <c r="M74" s="124"/>
      <c r="N74" s="122"/>
      <c r="O74" s="122"/>
      <c r="P74" s="122"/>
      <c r="Q74" s="122"/>
      <c r="R74" s="122"/>
      <c r="S74" s="122"/>
      <c r="T74" s="122"/>
      <c r="U74" s="122"/>
      <c r="V74" s="124"/>
      <c r="W74" s="122"/>
      <c r="X74" s="122"/>
      <c r="Y74" s="122"/>
      <c r="Z74" s="124"/>
      <c r="AA74" s="120">
        <f t="shared" si="3"/>
        <v>0</v>
      </c>
      <c r="AB74" s="122"/>
      <c r="AC74" s="122"/>
      <c r="AD74" s="122"/>
    </row>
    <row r="75">
      <c r="A75" s="153"/>
      <c r="B75" s="125"/>
      <c r="C75" s="143"/>
      <c r="D75" s="143"/>
      <c r="E75" s="122"/>
      <c r="F75" s="122"/>
      <c r="G75" s="122"/>
      <c r="H75" s="122"/>
      <c r="I75" s="122"/>
      <c r="J75" s="122"/>
      <c r="K75" s="122"/>
      <c r="L75" s="122"/>
      <c r="M75" s="124"/>
      <c r="N75" s="122"/>
      <c r="O75" s="122"/>
      <c r="P75" s="122"/>
      <c r="Q75" s="122"/>
      <c r="R75" s="122"/>
      <c r="S75" s="122"/>
      <c r="T75" s="122"/>
      <c r="U75" s="122"/>
      <c r="V75" s="124"/>
      <c r="W75" s="122"/>
      <c r="X75" s="122"/>
      <c r="Y75" s="122"/>
      <c r="Z75" s="124"/>
      <c r="AA75" s="120">
        <f t="shared" si="3"/>
        <v>0</v>
      </c>
      <c r="AB75" s="122"/>
      <c r="AC75" s="122"/>
      <c r="AD75" s="122"/>
    </row>
    <row r="76">
      <c r="A76" s="153"/>
      <c r="B76" s="125"/>
      <c r="C76" s="143"/>
      <c r="D76" s="143"/>
      <c r="E76" s="122"/>
      <c r="F76" s="122"/>
      <c r="G76" s="122"/>
      <c r="H76" s="122"/>
      <c r="I76" s="122"/>
      <c r="J76" s="122"/>
      <c r="K76" s="122"/>
      <c r="L76" s="122"/>
      <c r="M76" s="124"/>
      <c r="N76" s="122"/>
      <c r="O76" s="122"/>
      <c r="P76" s="122"/>
      <c r="Q76" s="122"/>
      <c r="R76" s="122"/>
      <c r="S76" s="122"/>
      <c r="T76" s="122"/>
      <c r="U76" s="122"/>
      <c r="V76" s="124"/>
      <c r="W76" s="122"/>
      <c r="X76" s="122"/>
      <c r="Y76" s="122"/>
      <c r="Z76" s="124"/>
      <c r="AA76" s="120">
        <f t="shared" si="3"/>
        <v>0</v>
      </c>
      <c r="AB76" s="122"/>
      <c r="AC76" s="122"/>
      <c r="AD76" s="122"/>
    </row>
    <row r="77">
      <c r="A77" s="153"/>
      <c r="B77" s="125"/>
      <c r="C77" s="143"/>
      <c r="D77" s="143"/>
      <c r="E77" s="122"/>
      <c r="F77" s="122"/>
      <c r="G77" s="122"/>
      <c r="H77" s="122"/>
      <c r="I77" s="122"/>
      <c r="J77" s="122"/>
      <c r="K77" s="122"/>
      <c r="L77" s="122"/>
      <c r="M77" s="124"/>
      <c r="N77" s="122"/>
      <c r="O77" s="122"/>
      <c r="P77" s="122"/>
      <c r="Q77" s="122"/>
      <c r="R77" s="122"/>
      <c r="S77" s="122"/>
      <c r="T77" s="122"/>
      <c r="U77" s="122"/>
      <c r="V77" s="124"/>
      <c r="W77" s="122"/>
      <c r="X77" s="122"/>
      <c r="Y77" s="122"/>
      <c r="Z77" s="124"/>
      <c r="AA77" s="124"/>
      <c r="AB77" s="122"/>
      <c r="AC77" s="122"/>
      <c r="AD77" s="122"/>
    </row>
    <row r="78">
      <c r="A78" s="154"/>
      <c r="B78" s="126"/>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c r="AC78" s="122"/>
      <c r="AD78" s="122"/>
    </row>
    <row r="79">
      <c r="A79" s="154"/>
      <c r="B79" s="126"/>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row>
    <row r="80">
      <c r="A80" s="154"/>
      <c r="B80" s="126"/>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c r="AD80" s="122"/>
    </row>
    <row r="81">
      <c r="A81" s="154"/>
      <c r="B81" s="126"/>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2"/>
      <c r="AC81" s="122"/>
      <c r="AD81" s="122"/>
    </row>
    <row r="82">
      <c r="A82" s="154"/>
      <c r="B82" s="126"/>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c r="AC82" s="122"/>
      <c r="AD82" s="122"/>
    </row>
    <row r="83">
      <c r="A83" s="154"/>
      <c r="B83" s="126"/>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row>
    <row r="84">
      <c r="A84" s="154"/>
      <c r="B84" s="126"/>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row>
    <row r="85">
      <c r="A85" s="154"/>
      <c r="B85" s="126"/>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row>
    <row r="86">
      <c r="A86" s="154"/>
      <c r="B86" s="126"/>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row>
    <row r="87">
      <c r="A87" s="154"/>
      <c r="B87" s="126"/>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row>
    <row r="88">
      <c r="A88" s="154"/>
      <c r="B88" s="126"/>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row>
    <row r="89">
      <c r="A89" s="154"/>
      <c r="B89" s="126"/>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row>
    <row r="90">
      <c r="A90" s="154"/>
      <c r="B90" s="126"/>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row>
    <row r="91">
      <c r="A91" s="154"/>
      <c r="B91" s="126"/>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row>
    <row r="92">
      <c r="A92" s="154"/>
      <c r="B92" s="126"/>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row>
    <row r="93">
      <c r="A93" s="154"/>
      <c r="B93" s="126"/>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row>
    <row r="94">
      <c r="A94" s="154"/>
      <c r="B94" s="126"/>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row>
    <row r="95">
      <c r="A95" s="154"/>
      <c r="B95" s="126"/>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row>
    <row r="96">
      <c r="A96" s="154"/>
      <c r="B96" s="126"/>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row>
    <row r="97">
      <c r="A97" s="154"/>
      <c r="B97" s="126"/>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c r="AD97" s="122"/>
    </row>
    <row r="98">
      <c r="A98" s="154"/>
      <c r="B98" s="126"/>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row>
    <row r="99">
      <c r="A99" s="154"/>
      <c r="B99" s="126"/>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row>
    <row r="100">
      <c r="A100" s="154"/>
      <c r="B100" s="126"/>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row>
    <row r="101">
      <c r="A101" s="154"/>
      <c r="B101" s="126"/>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2"/>
    </row>
    <row r="102">
      <c r="A102" s="154"/>
      <c r="B102" s="126"/>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c r="AD102" s="122"/>
    </row>
    <row r="103">
      <c r="A103" s="154"/>
      <c r="B103" s="126"/>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row>
    <row r="104">
      <c r="A104" s="154"/>
      <c r="B104" s="126"/>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row>
    <row r="105">
      <c r="A105" s="154"/>
      <c r="B105" s="126"/>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row>
    <row r="106">
      <c r="A106" s="154"/>
      <c r="B106" s="126"/>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c r="AD106" s="122"/>
    </row>
    <row r="107">
      <c r="A107" s="154"/>
      <c r="B107" s="126"/>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2"/>
    </row>
    <row r="108">
      <c r="A108" s="154"/>
      <c r="B108" s="126"/>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row>
    <row r="109">
      <c r="A109" s="154"/>
      <c r="B109" s="126"/>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c r="AD109" s="122"/>
    </row>
    <row r="110">
      <c r="A110" s="154"/>
      <c r="B110" s="126"/>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row>
    <row r="111">
      <c r="A111" s="154"/>
      <c r="B111" s="126"/>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c r="AD111" s="122"/>
    </row>
    <row r="112">
      <c r="A112" s="154"/>
      <c r="B112" s="126"/>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c r="AD112" s="122"/>
    </row>
    <row r="113">
      <c r="A113" s="154"/>
      <c r="B113" s="126"/>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row>
    <row r="114">
      <c r="A114" s="154"/>
      <c r="B114" s="126"/>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row>
    <row r="115">
      <c r="A115" s="154"/>
      <c r="B115" s="126"/>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row>
    <row r="116">
      <c r="A116" s="154"/>
      <c r="B116" s="126"/>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c r="AD116" s="122"/>
    </row>
    <row r="117">
      <c r="A117" s="154"/>
      <c r="B117" s="126"/>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2"/>
    </row>
    <row r="118">
      <c r="A118" s="154"/>
      <c r="B118" s="126"/>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c r="AD118" s="122"/>
    </row>
    <row r="119">
      <c r="A119" s="154"/>
      <c r="B119" s="126"/>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c r="AD119" s="122"/>
    </row>
    <row r="120">
      <c r="A120" s="154"/>
      <c r="B120" s="126"/>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row>
    <row r="121">
      <c r="A121" s="154"/>
      <c r="B121" s="126"/>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c r="AD121" s="122"/>
    </row>
    <row r="122">
      <c r="A122" s="154"/>
      <c r="B122" s="126"/>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c r="AD122" s="122"/>
    </row>
    <row r="123">
      <c r="A123" s="154"/>
      <c r="B123" s="126"/>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c r="AD123" s="122"/>
    </row>
    <row r="124">
      <c r="A124" s="154"/>
      <c r="B124" s="126"/>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row>
    <row r="125">
      <c r="A125" s="154"/>
      <c r="B125" s="126"/>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row>
    <row r="126">
      <c r="A126" s="154"/>
      <c r="B126" s="126"/>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c r="AD126" s="122"/>
    </row>
    <row r="127">
      <c r="A127" s="154"/>
      <c r="B127" s="126"/>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c r="AD127" s="122"/>
    </row>
    <row r="128">
      <c r="A128" s="154"/>
      <c r="B128" s="126"/>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c r="AD128" s="122"/>
    </row>
    <row r="129">
      <c r="A129" s="154"/>
      <c r="B129" s="126"/>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row>
    <row r="130">
      <c r="A130" s="154"/>
      <c r="B130" s="126"/>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row>
    <row r="131">
      <c r="A131" s="154"/>
      <c r="B131" s="126"/>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row>
    <row r="132">
      <c r="A132" s="154"/>
      <c r="B132" s="126"/>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c r="AD132" s="122"/>
    </row>
    <row r="133">
      <c r="A133" s="154"/>
      <c r="B133" s="126"/>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c r="AD133" s="122"/>
    </row>
    <row r="134">
      <c r="A134" s="154"/>
      <c r="B134" s="126"/>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c r="AD134" s="122"/>
    </row>
    <row r="135">
      <c r="A135" s="154"/>
      <c r="B135" s="126"/>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c r="AD135" s="122"/>
    </row>
    <row r="136">
      <c r="A136" s="154"/>
      <c r="B136" s="126"/>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2"/>
    </row>
    <row r="137">
      <c r="A137" s="154"/>
      <c r="B137" s="126"/>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c r="AD137" s="122"/>
    </row>
    <row r="138">
      <c r="A138" s="154"/>
      <c r="B138" s="126"/>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2"/>
    </row>
    <row r="139">
      <c r="A139" s="154"/>
      <c r="B139" s="126"/>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row>
    <row r="140">
      <c r="A140" s="154"/>
      <c r="B140" s="126"/>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2"/>
    </row>
    <row r="141">
      <c r="A141" s="154"/>
      <c r="B141" s="126"/>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row>
    <row r="142">
      <c r="A142" s="154"/>
      <c r="B142" s="126"/>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2"/>
    </row>
    <row r="143">
      <c r="A143" s="154"/>
      <c r="B143" s="126"/>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2"/>
    </row>
    <row r="144">
      <c r="A144" s="154"/>
      <c r="B144" s="126"/>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2"/>
    </row>
    <row r="145">
      <c r="A145" s="154"/>
      <c r="B145" s="126"/>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2"/>
    </row>
    <row r="146">
      <c r="A146" s="154"/>
      <c r="B146" s="126"/>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row>
    <row r="147">
      <c r="A147" s="154"/>
      <c r="B147" s="126"/>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row>
    <row r="148">
      <c r="A148" s="154"/>
      <c r="B148" s="126"/>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2"/>
    </row>
    <row r="149">
      <c r="A149" s="154"/>
      <c r="B149" s="126"/>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2"/>
    </row>
    <row r="150">
      <c r="A150" s="154"/>
      <c r="B150" s="126"/>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row>
    <row r="151">
      <c r="A151" s="154"/>
      <c r="B151" s="126"/>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row>
    <row r="152">
      <c r="A152" s="154"/>
      <c r="B152" s="126"/>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row>
    <row r="153">
      <c r="A153" s="154"/>
      <c r="B153" s="126"/>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c r="AD153" s="122"/>
    </row>
    <row r="154">
      <c r="A154" s="154"/>
      <c r="B154" s="126"/>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2"/>
    </row>
    <row r="155">
      <c r="A155" s="154"/>
      <c r="B155" s="126"/>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c r="AD155" s="122"/>
    </row>
    <row r="156">
      <c r="A156" s="154"/>
      <c r="B156" s="126"/>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c r="AD156" s="122"/>
    </row>
    <row r="157">
      <c r="A157" s="154"/>
      <c r="B157" s="126"/>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c r="AD157" s="122"/>
    </row>
    <row r="158">
      <c r="A158" s="154"/>
      <c r="B158" s="126"/>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c r="AD158" s="122"/>
    </row>
    <row r="159">
      <c r="A159" s="154"/>
      <c r="B159" s="126"/>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c r="AD159" s="122"/>
    </row>
    <row r="160">
      <c r="A160" s="154"/>
      <c r="B160" s="126"/>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row>
    <row r="161">
      <c r="A161" s="154"/>
      <c r="B161" s="126"/>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row>
    <row r="162">
      <c r="A162" s="154"/>
      <c r="B162" s="126"/>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c r="AD162" s="122"/>
    </row>
    <row r="163">
      <c r="A163" s="154"/>
      <c r="B163" s="126"/>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c r="AD163" s="122"/>
    </row>
    <row r="164">
      <c r="A164" s="154"/>
      <c r="B164" s="126"/>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c r="AD164" s="122"/>
    </row>
    <row r="165">
      <c r="A165" s="154"/>
      <c r="B165" s="126"/>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c r="AD165" s="122"/>
    </row>
    <row r="166">
      <c r="A166" s="154"/>
      <c r="B166" s="126"/>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2"/>
    </row>
    <row r="167">
      <c r="A167" s="154"/>
      <c r="B167" s="126"/>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c r="AD167" s="122"/>
    </row>
    <row r="168">
      <c r="A168" s="154"/>
      <c r="B168" s="126"/>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c r="AD168" s="122"/>
    </row>
    <row r="169">
      <c r="A169" s="154"/>
      <c r="B169" s="126"/>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c r="AD169" s="122"/>
    </row>
    <row r="170">
      <c r="A170" s="154"/>
      <c r="B170" s="126"/>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c r="AD170" s="122"/>
    </row>
    <row r="171">
      <c r="A171" s="154"/>
      <c r="B171" s="126"/>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c r="AD171" s="122"/>
    </row>
    <row r="172">
      <c r="A172" s="154"/>
      <c r="B172" s="126"/>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c r="AD172" s="122"/>
    </row>
    <row r="173">
      <c r="A173" s="154"/>
      <c r="B173" s="126"/>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c r="AD173" s="122"/>
    </row>
    <row r="174">
      <c r="A174" s="154"/>
      <c r="B174" s="126"/>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c r="AD174" s="122"/>
    </row>
    <row r="175">
      <c r="A175" s="154"/>
      <c r="B175" s="126"/>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c r="AD175" s="122"/>
    </row>
    <row r="176">
      <c r="A176" s="154"/>
      <c r="B176" s="126"/>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c r="AD176" s="122"/>
    </row>
    <row r="177">
      <c r="A177" s="154"/>
      <c r="B177" s="126"/>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row>
    <row r="178">
      <c r="A178" s="154"/>
      <c r="B178" s="126"/>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c r="AD178" s="122"/>
    </row>
    <row r="179">
      <c r="A179" s="154"/>
      <c r="B179" s="126"/>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row>
    <row r="180">
      <c r="A180" s="154"/>
      <c r="B180" s="126"/>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row>
    <row r="181">
      <c r="A181" s="154"/>
      <c r="B181" s="126"/>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row>
    <row r="182">
      <c r="A182" s="154"/>
      <c r="B182" s="126"/>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row>
    <row r="183">
      <c r="A183" s="154"/>
      <c r="B183" s="126"/>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row>
    <row r="184">
      <c r="A184" s="154"/>
      <c r="B184" s="126"/>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row>
    <row r="185">
      <c r="A185" s="154"/>
      <c r="B185" s="126"/>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row>
    <row r="186">
      <c r="A186" s="154"/>
      <c r="B186" s="126"/>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row>
    <row r="187">
      <c r="A187" s="154"/>
      <c r="B187" s="126"/>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c r="AD187" s="122"/>
    </row>
    <row r="188">
      <c r="A188" s="154"/>
      <c r="B188" s="126"/>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c r="AD188" s="122"/>
    </row>
    <row r="189">
      <c r="A189" s="154"/>
      <c r="B189" s="126"/>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c r="AD189" s="122"/>
    </row>
    <row r="190">
      <c r="A190" s="154"/>
      <c r="B190" s="126"/>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c r="AD190" s="122"/>
    </row>
    <row r="191">
      <c r="A191" s="154"/>
      <c r="B191" s="126"/>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row>
    <row r="192">
      <c r="A192" s="154"/>
      <c r="B192" s="126"/>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c r="AD192" s="122"/>
    </row>
    <row r="193">
      <c r="A193" s="154"/>
      <c r="B193" s="126"/>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c r="AD193" s="122"/>
    </row>
    <row r="194">
      <c r="A194" s="154"/>
      <c r="B194" s="126"/>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c r="AD194" s="122"/>
    </row>
    <row r="195">
      <c r="A195" s="154"/>
      <c r="B195" s="126"/>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row>
    <row r="196">
      <c r="A196" s="154"/>
      <c r="B196" s="126"/>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row>
    <row r="197">
      <c r="A197" s="154"/>
      <c r="B197" s="126"/>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row>
    <row r="198">
      <c r="A198" s="154"/>
      <c r="B198" s="126"/>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c r="AD198" s="122"/>
    </row>
    <row r="199">
      <c r="A199" s="154"/>
      <c r="B199" s="126"/>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c r="AD199" s="122"/>
    </row>
    <row r="200">
      <c r="A200" s="154"/>
      <c r="B200" s="126"/>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c r="AD200" s="122"/>
    </row>
    <row r="201">
      <c r="A201" s="154"/>
      <c r="B201" s="126"/>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c r="AD201" s="122"/>
    </row>
    <row r="202">
      <c r="A202" s="154"/>
      <c r="B202" s="126"/>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c r="AD202" s="122"/>
    </row>
    <row r="203">
      <c r="A203" s="154"/>
      <c r="B203" s="126"/>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c r="AD203" s="122"/>
    </row>
    <row r="204">
      <c r="A204" s="154"/>
      <c r="B204" s="126"/>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row>
    <row r="205">
      <c r="A205" s="154"/>
      <c r="B205" s="126"/>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c r="AD205" s="122"/>
    </row>
    <row r="206">
      <c r="A206" s="154"/>
      <c r="B206" s="126"/>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c r="AD206" s="122"/>
    </row>
    <row r="207">
      <c r="A207" s="154"/>
      <c r="B207" s="126"/>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c r="AD207" s="122"/>
    </row>
    <row r="208">
      <c r="A208" s="154"/>
      <c r="B208" s="126"/>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c r="AD208" s="122"/>
    </row>
    <row r="209">
      <c r="A209" s="154"/>
      <c r="B209" s="126"/>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row>
    <row r="210">
      <c r="A210" s="154"/>
      <c r="B210" s="126"/>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row>
    <row r="211">
      <c r="A211" s="154"/>
      <c r="B211" s="126"/>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c r="AD211" s="122"/>
    </row>
    <row r="212">
      <c r="A212" s="154"/>
      <c r="B212" s="126"/>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row>
    <row r="213">
      <c r="A213" s="154"/>
      <c r="B213" s="126"/>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c r="AD213" s="122"/>
    </row>
    <row r="214">
      <c r="A214" s="154"/>
      <c r="B214" s="126"/>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row>
    <row r="215">
      <c r="A215" s="154"/>
      <c r="B215" s="126"/>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row>
    <row r="216">
      <c r="A216" s="154"/>
      <c r="B216" s="126"/>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row>
    <row r="217">
      <c r="A217" s="154"/>
      <c r="B217" s="126"/>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2"/>
    </row>
    <row r="218">
      <c r="A218" s="154"/>
      <c r="B218" s="126"/>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c r="AD218" s="122"/>
    </row>
    <row r="219">
      <c r="A219" s="154"/>
      <c r="B219" s="126"/>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c r="AD219" s="122"/>
    </row>
    <row r="220">
      <c r="A220" s="154"/>
      <c r="B220" s="126"/>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c r="AD220" s="122"/>
    </row>
    <row r="221">
      <c r="A221" s="154"/>
      <c r="B221" s="126"/>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c r="AD221" s="122"/>
    </row>
    <row r="222">
      <c r="A222" s="154"/>
      <c r="B222" s="126"/>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row>
    <row r="223">
      <c r="A223" s="154"/>
      <c r="B223" s="126"/>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c r="AD223" s="122"/>
    </row>
    <row r="224">
      <c r="A224" s="154"/>
      <c r="B224" s="126"/>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c r="AD224" s="122"/>
    </row>
    <row r="225">
      <c r="A225" s="154"/>
      <c r="B225" s="126"/>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c r="AD225" s="122"/>
    </row>
    <row r="226">
      <c r="A226" s="154"/>
      <c r="B226" s="126"/>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c r="AD226" s="122"/>
    </row>
    <row r="227">
      <c r="A227" s="154"/>
      <c r="B227" s="126"/>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2"/>
    </row>
    <row r="228">
      <c r="A228" s="154"/>
      <c r="B228" s="126"/>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row>
    <row r="229">
      <c r="A229" s="154"/>
      <c r="B229" s="126"/>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c r="AD229" s="122"/>
    </row>
    <row r="230">
      <c r="A230" s="154"/>
      <c r="B230" s="126"/>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c r="AD230" s="122"/>
    </row>
    <row r="231">
      <c r="A231" s="154"/>
      <c r="B231" s="126"/>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c r="AD231" s="122"/>
    </row>
    <row r="232">
      <c r="A232" s="154"/>
      <c r="B232" s="126"/>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c r="AD232" s="122"/>
    </row>
    <row r="233">
      <c r="A233" s="154"/>
      <c r="B233" s="126"/>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c r="AD233" s="122"/>
    </row>
    <row r="234">
      <c r="A234" s="154"/>
      <c r="B234" s="126"/>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c r="AD234" s="122"/>
    </row>
    <row r="235">
      <c r="A235" s="154"/>
      <c r="B235" s="126"/>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c r="AD235" s="122"/>
    </row>
    <row r="236">
      <c r="A236" s="154"/>
      <c r="B236" s="126"/>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c r="AD236" s="122"/>
    </row>
    <row r="237">
      <c r="A237" s="154"/>
      <c r="B237" s="126"/>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c r="AD237" s="122"/>
    </row>
    <row r="238">
      <c r="A238" s="154"/>
      <c r="B238" s="126"/>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c r="AD238" s="122"/>
    </row>
    <row r="239">
      <c r="A239" s="154"/>
      <c r="B239" s="126"/>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c r="AD239" s="122"/>
    </row>
    <row r="240">
      <c r="A240" s="154"/>
      <c r="B240" s="126"/>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c r="AD240" s="122"/>
    </row>
    <row r="241">
      <c r="A241" s="154"/>
      <c r="B241" s="126"/>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c r="AD241" s="122"/>
    </row>
    <row r="242">
      <c r="A242" s="154"/>
      <c r="B242" s="126"/>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c r="AD242" s="122"/>
    </row>
    <row r="243">
      <c r="A243" s="154"/>
      <c r="B243" s="126"/>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c r="AD243" s="122"/>
    </row>
    <row r="244">
      <c r="A244" s="154"/>
      <c r="B244" s="126"/>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c r="AD244" s="122"/>
    </row>
    <row r="245">
      <c r="A245" s="154"/>
      <c r="B245" s="126"/>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c r="AD245" s="122"/>
    </row>
    <row r="246">
      <c r="A246" s="154"/>
      <c r="B246" s="126"/>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c r="AD246" s="122"/>
    </row>
    <row r="247">
      <c r="A247" s="154"/>
      <c r="B247" s="126"/>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c r="AD247" s="122"/>
    </row>
    <row r="248">
      <c r="A248" s="154"/>
      <c r="B248" s="126"/>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c r="AD248" s="122"/>
    </row>
    <row r="249">
      <c r="A249" s="154"/>
      <c r="B249" s="126"/>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c r="AD249" s="122"/>
    </row>
    <row r="250">
      <c r="A250" s="154"/>
      <c r="B250" s="126"/>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c r="AD250" s="122"/>
    </row>
    <row r="251">
      <c r="A251" s="154"/>
      <c r="B251" s="126"/>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c r="AD251" s="122"/>
    </row>
    <row r="252">
      <c r="A252" s="154"/>
      <c r="B252" s="126"/>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c r="AD252" s="122"/>
    </row>
    <row r="253">
      <c r="A253" s="154"/>
      <c r="B253" s="126"/>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c r="AD253" s="122"/>
    </row>
    <row r="254">
      <c r="A254" s="154"/>
      <c r="B254" s="126"/>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c r="AD254" s="122"/>
    </row>
    <row r="255">
      <c r="A255" s="154"/>
      <c r="B255" s="126"/>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c r="AD255" s="122"/>
    </row>
    <row r="256">
      <c r="A256" s="154"/>
      <c r="B256" s="126"/>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c r="AD256" s="122"/>
    </row>
    <row r="257">
      <c r="A257" s="154"/>
      <c r="B257" s="126"/>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c r="AD257" s="122"/>
    </row>
    <row r="258">
      <c r="A258" s="154"/>
      <c r="B258" s="126"/>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c r="AD258" s="122"/>
    </row>
    <row r="259">
      <c r="A259" s="154"/>
      <c r="B259" s="126"/>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c r="AD259" s="122"/>
    </row>
    <row r="260">
      <c r="A260" s="154"/>
      <c r="B260" s="126"/>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c r="AD260" s="122"/>
    </row>
    <row r="261">
      <c r="A261" s="154"/>
      <c r="B261" s="126"/>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c r="AD261" s="122"/>
    </row>
    <row r="262">
      <c r="A262" s="154"/>
      <c r="B262" s="126"/>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c r="AD262" s="122"/>
    </row>
    <row r="263">
      <c r="A263" s="154"/>
      <c r="B263" s="126"/>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c r="AD263" s="122"/>
    </row>
    <row r="264">
      <c r="A264" s="154"/>
      <c r="B264" s="126"/>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c r="AD264" s="122"/>
    </row>
    <row r="265">
      <c r="A265" s="154"/>
      <c r="B265" s="126"/>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c r="AD265" s="122"/>
    </row>
    <row r="266">
      <c r="A266" s="154"/>
      <c r="B266" s="126"/>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c r="AD266" s="122"/>
    </row>
    <row r="267">
      <c r="A267" s="154"/>
      <c r="B267" s="126"/>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2"/>
    </row>
    <row r="268">
      <c r="A268" s="154"/>
      <c r="B268" s="126"/>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c r="AD268" s="122"/>
    </row>
    <row r="269">
      <c r="A269" s="154"/>
      <c r="B269" s="126"/>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c r="AD269" s="122"/>
    </row>
    <row r="270">
      <c r="A270" s="154"/>
      <c r="B270" s="126"/>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c r="AD270" s="122"/>
    </row>
    <row r="271">
      <c r="A271" s="154"/>
      <c r="B271" s="126"/>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c r="AD271" s="122"/>
    </row>
    <row r="272">
      <c r="A272" s="154"/>
      <c r="B272" s="126"/>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c r="AD272" s="122"/>
    </row>
    <row r="273">
      <c r="A273" s="154"/>
      <c r="B273" s="126"/>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c r="AD273" s="122"/>
    </row>
    <row r="274">
      <c r="A274" s="154"/>
      <c r="B274" s="126"/>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2"/>
    </row>
    <row r="275">
      <c r="A275" s="154"/>
      <c r="B275" s="126"/>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c r="AD275" s="122"/>
    </row>
    <row r="276">
      <c r="A276" s="154"/>
      <c r="B276" s="126"/>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c r="AD276" s="122"/>
    </row>
    <row r="277">
      <c r="A277" s="154"/>
      <c r="B277" s="126"/>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c r="AD277" s="122"/>
    </row>
    <row r="278">
      <c r="A278" s="154"/>
      <c r="B278" s="126"/>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c r="AD278" s="122"/>
    </row>
    <row r="279">
      <c r="A279" s="154"/>
      <c r="B279" s="126"/>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c r="AD279" s="122"/>
    </row>
    <row r="280">
      <c r="A280" s="154"/>
      <c r="B280" s="126"/>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c r="AD280" s="122"/>
    </row>
    <row r="281">
      <c r="A281" s="154"/>
      <c r="B281" s="126"/>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c r="AD281" s="122"/>
    </row>
    <row r="282">
      <c r="A282" s="154"/>
      <c r="B282" s="126"/>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c r="AD282" s="122"/>
    </row>
    <row r="283">
      <c r="A283" s="154"/>
      <c r="B283" s="126"/>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c r="AD283" s="122"/>
    </row>
    <row r="284">
      <c r="A284" s="154"/>
      <c r="B284" s="126"/>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c r="AD284" s="122"/>
    </row>
    <row r="285">
      <c r="A285" s="154"/>
      <c r="B285" s="126"/>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c r="AD285" s="122"/>
    </row>
    <row r="286">
      <c r="A286" s="154"/>
      <c r="B286" s="126"/>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c r="AD286" s="122"/>
    </row>
    <row r="287">
      <c r="A287" s="154"/>
      <c r="B287" s="126"/>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c r="AD287" s="122"/>
    </row>
    <row r="288">
      <c r="A288" s="154"/>
      <c r="B288" s="126"/>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2"/>
    </row>
    <row r="289">
      <c r="A289" s="154"/>
      <c r="B289" s="126"/>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c r="AD289" s="122"/>
    </row>
    <row r="290">
      <c r="A290" s="154"/>
      <c r="B290" s="126"/>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c r="AD290" s="122"/>
    </row>
    <row r="291">
      <c r="A291" s="154"/>
      <c r="B291" s="126"/>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c r="AD291" s="122"/>
    </row>
    <row r="292">
      <c r="A292" s="154"/>
      <c r="B292" s="126"/>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2"/>
    </row>
    <row r="293">
      <c r="A293" s="154"/>
      <c r="B293" s="126"/>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row>
    <row r="294">
      <c r="A294" s="154"/>
      <c r="B294" s="126"/>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2"/>
    </row>
    <row r="295">
      <c r="A295" s="154"/>
      <c r="B295" s="126"/>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c r="AD295" s="122"/>
    </row>
    <row r="296">
      <c r="A296" s="154"/>
      <c r="B296" s="126"/>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c r="AD296" s="122"/>
    </row>
    <row r="297">
      <c r="A297" s="154"/>
      <c r="B297" s="126"/>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c r="AD297" s="122"/>
    </row>
    <row r="298">
      <c r="A298" s="154"/>
      <c r="B298" s="126"/>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c r="AD298" s="122"/>
    </row>
    <row r="299">
      <c r="A299" s="154"/>
      <c r="B299" s="126"/>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c r="AD299" s="122"/>
    </row>
    <row r="300">
      <c r="A300" s="154"/>
      <c r="B300" s="126"/>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c r="AD300" s="122"/>
    </row>
    <row r="301">
      <c r="A301" s="154"/>
      <c r="B301" s="126"/>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c r="AD301" s="122"/>
    </row>
    <row r="302">
      <c r="A302" s="154"/>
      <c r="B302" s="126"/>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c r="AD302" s="122"/>
    </row>
    <row r="303">
      <c r="A303" s="154"/>
      <c r="B303" s="126"/>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c r="AD303" s="122"/>
    </row>
    <row r="304">
      <c r="A304" s="154"/>
      <c r="B304" s="126"/>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c r="AD304" s="122"/>
    </row>
    <row r="305">
      <c r="A305" s="154"/>
      <c r="B305" s="126"/>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c r="AD305" s="122"/>
    </row>
    <row r="306">
      <c r="A306" s="154"/>
      <c r="B306" s="126"/>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c r="AD306" s="122"/>
    </row>
    <row r="307">
      <c r="A307" s="154"/>
      <c r="B307" s="126"/>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c r="AD307" s="122"/>
    </row>
    <row r="308">
      <c r="A308" s="154"/>
      <c r="B308" s="126"/>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c r="AD308" s="122"/>
    </row>
    <row r="309">
      <c r="A309" s="154"/>
      <c r="B309" s="126"/>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c r="AD309" s="122"/>
    </row>
    <row r="310">
      <c r="A310" s="154"/>
      <c r="B310" s="126"/>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c r="AD310" s="122"/>
    </row>
    <row r="311">
      <c r="A311" s="154"/>
      <c r="B311" s="126"/>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c r="AD311" s="122"/>
    </row>
    <row r="312">
      <c r="A312" s="154"/>
      <c r="B312" s="126"/>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c r="AD312" s="122"/>
    </row>
    <row r="313">
      <c r="A313" s="154"/>
      <c r="B313" s="126"/>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c r="AD313" s="122"/>
    </row>
    <row r="314">
      <c r="A314" s="154"/>
      <c r="B314" s="126"/>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c r="AD314" s="122"/>
    </row>
    <row r="315">
      <c r="A315" s="154"/>
      <c r="B315" s="126"/>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c r="AD315" s="122"/>
    </row>
    <row r="316">
      <c r="A316" s="154"/>
      <c r="B316" s="126"/>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c r="AD316" s="122"/>
    </row>
    <row r="317">
      <c r="A317" s="154"/>
      <c r="B317" s="126"/>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c r="AD317" s="122"/>
    </row>
    <row r="318">
      <c r="A318" s="154"/>
      <c r="B318" s="126"/>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c r="AD318" s="122"/>
    </row>
    <row r="319">
      <c r="A319" s="154"/>
      <c r="B319" s="126"/>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c r="AD319" s="122"/>
    </row>
    <row r="320">
      <c r="A320" s="154"/>
      <c r="B320" s="126"/>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c r="AD320" s="122"/>
    </row>
    <row r="321">
      <c r="A321" s="154"/>
      <c r="B321" s="126"/>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c r="AD321" s="122"/>
    </row>
    <row r="322">
      <c r="A322" s="154"/>
      <c r="B322" s="126"/>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c r="AD322" s="122"/>
    </row>
    <row r="323">
      <c r="A323" s="154"/>
      <c r="B323" s="126"/>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c r="AD323" s="122"/>
    </row>
    <row r="324">
      <c r="A324" s="154"/>
      <c r="B324" s="126"/>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c r="AD324" s="122"/>
    </row>
    <row r="325">
      <c r="A325" s="154"/>
      <c r="B325" s="126"/>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c r="AD325" s="122"/>
    </row>
    <row r="326">
      <c r="A326" s="154"/>
      <c r="B326" s="126"/>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c r="AD326" s="122"/>
    </row>
    <row r="327">
      <c r="A327" s="154"/>
      <c r="B327" s="126"/>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c r="AD327" s="122"/>
    </row>
    <row r="328">
      <c r="A328" s="154"/>
      <c r="B328" s="126"/>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c r="AD328" s="122"/>
    </row>
    <row r="329">
      <c r="A329" s="154"/>
      <c r="B329" s="126"/>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c r="AD329" s="122"/>
    </row>
    <row r="330">
      <c r="A330" s="154"/>
      <c r="B330" s="126"/>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c r="AD330" s="122"/>
    </row>
    <row r="331">
      <c r="A331" s="154"/>
      <c r="B331" s="126"/>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c r="AD331" s="122"/>
    </row>
    <row r="332">
      <c r="A332" s="154"/>
      <c r="B332" s="126"/>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c r="AD332" s="122"/>
    </row>
    <row r="333">
      <c r="A333" s="154"/>
      <c r="B333" s="126"/>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c r="AD333" s="122"/>
    </row>
    <row r="334">
      <c r="A334" s="154"/>
      <c r="B334" s="126"/>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c r="AD334" s="122"/>
    </row>
    <row r="335">
      <c r="A335" s="154"/>
      <c r="B335" s="126"/>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c r="AD335" s="122"/>
    </row>
    <row r="336">
      <c r="A336" s="154"/>
      <c r="B336" s="126"/>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c r="AD336" s="122"/>
    </row>
    <row r="337">
      <c r="A337" s="154"/>
      <c r="B337" s="126"/>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c r="AD337" s="122"/>
    </row>
    <row r="338">
      <c r="A338" s="154"/>
      <c r="B338" s="126"/>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c r="AD338" s="122"/>
    </row>
    <row r="339">
      <c r="A339" s="154"/>
      <c r="B339" s="126"/>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c r="AD339" s="122"/>
    </row>
    <row r="340">
      <c r="A340" s="154"/>
      <c r="B340" s="126"/>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c r="AD340" s="122"/>
    </row>
    <row r="341">
      <c r="A341" s="154"/>
      <c r="B341" s="126"/>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c r="AD341" s="122"/>
    </row>
    <row r="342">
      <c r="A342" s="154"/>
      <c r="B342" s="126"/>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c r="AD342" s="122"/>
    </row>
    <row r="343">
      <c r="A343" s="154"/>
      <c r="B343" s="126"/>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c r="AD343" s="122"/>
    </row>
    <row r="344">
      <c r="A344" s="154"/>
      <c r="B344" s="126"/>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c r="AD344" s="122"/>
    </row>
    <row r="345">
      <c r="A345" s="154"/>
      <c r="B345" s="126"/>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c r="AD345" s="122"/>
    </row>
    <row r="346">
      <c r="A346" s="154"/>
      <c r="B346" s="126"/>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c r="AD346" s="122"/>
    </row>
    <row r="347">
      <c r="A347" s="154"/>
      <c r="B347" s="126"/>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c r="AD347" s="122"/>
    </row>
    <row r="348">
      <c r="A348" s="154"/>
      <c r="B348" s="126"/>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c r="AD348" s="122"/>
    </row>
    <row r="349">
      <c r="A349" s="154"/>
      <c r="B349" s="126"/>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c r="AD349" s="122"/>
    </row>
    <row r="350">
      <c r="A350" s="154"/>
      <c r="B350" s="126"/>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c r="AD350" s="122"/>
    </row>
    <row r="351">
      <c r="A351" s="154"/>
      <c r="B351" s="126"/>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c r="AD351" s="122"/>
    </row>
    <row r="352">
      <c r="A352" s="154"/>
      <c r="B352" s="126"/>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c r="AD352" s="122"/>
    </row>
    <row r="353">
      <c r="A353" s="154"/>
      <c r="B353" s="126"/>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c r="AD353" s="122"/>
    </row>
    <row r="354">
      <c r="A354" s="154"/>
      <c r="B354" s="126"/>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c r="AD354" s="122"/>
    </row>
    <row r="355">
      <c r="A355" s="154"/>
      <c r="B355" s="126"/>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c r="AD355" s="122"/>
    </row>
    <row r="356">
      <c r="A356" s="154"/>
      <c r="B356" s="126"/>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c r="AD356" s="122"/>
    </row>
    <row r="357">
      <c r="A357" s="154"/>
      <c r="B357" s="126"/>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c r="AD357" s="122"/>
    </row>
    <row r="358">
      <c r="A358" s="154"/>
      <c r="B358" s="126"/>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c r="AD358" s="122"/>
    </row>
    <row r="359">
      <c r="A359" s="154"/>
      <c r="B359" s="126"/>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c r="AD359" s="122"/>
    </row>
    <row r="360">
      <c r="A360" s="154"/>
      <c r="B360" s="126"/>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c r="AD360" s="122"/>
    </row>
    <row r="361">
      <c r="A361" s="154"/>
      <c r="B361" s="126"/>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c r="AD361" s="122"/>
    </row>
    <row r="362">
      <c r="A362" s="154"/>
      <c r="B362" s="126"/>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c r="AD362" s="122"/>
    </row>
    <row r="363">
      <c r="A363" s="154"/>
      <c r="B363" s="126"/>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c r="AD363" s="122"/>
    </row>
    <row r="364">
      <c r="A364" s="154"/>
      <c r="B364" s="126"/>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2"/>
    </row>
    <row r="365">
      <c r="A365" s="154"/>
      <c r="B365" s="126"/>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c r="AD365" s="122"/>
    </row>
    <row r="366">
      <c r="A366" s="154"/>
      <c r="B366" s="126"/>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c r="AD366" s="122"/>
    </row>
    <row r="367">
      <c r="A367" s="154"/>
      <c r="B367" s="126"/>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c r="AD367" s="122"/>
    </row>
    <row r="368">
      <c r="A368" s="154"/>
      <c r="B368" s="126"/>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c r="AD368" s="122"/>
    </row>
    <row r="369">
      <c r="A369" s="154"/>
      <c r="B369" s="126"/>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2"/>
    </row>
    <row r="370">
      <c r="A370" s="154"/>
      <c r="B370" s="126"/>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c r="AD370" s="122"/>
    </row>
    <row r="371">
      <c r="A371" s="154"/>
      <c r="B371" s="126"/>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c r="AD371" s="122"/>
    </row>
    <row r="372">
      <c r="A372" s="154"/>
      <c r="B372" s="126"/>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c r="AD372" s="122"/>
    </row>
    <row r="373">
      <c r="A373" s="154"/>
      <c r="B373" s="126"/>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c r="AD373" s="122"/>
    </row>
    <row r="374">
      <c r="A374" s="154"/>
      <c r="B374" s="126"/>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c r="AD374" s="122"/>
    </row>
    <row r="375">
      <c r="A375" s="154"/>
      <c r="B375" s="126"/>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c r="AD375" s="122"/>
    </row>
    <row r="376">
      <c r="A376" s="154"/>
      <c r="B376" s="126"/>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c r="AD376" s="122"/>
    </row>
    <row r="377">
      <c r="A377" s="154"/>
      <c r="B377" s="126"/>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c r="AD377" s="122"/>
    </row>
    <row r="378">
      <c r="A378" s="154"/>
      <c r="B378" s="126"/>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c r="AD378" s="122"/>
    </row>
    <row r="379">
      <c r="A379" s="154"/>
      <c r="B379" s="126"/>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c r="AD379" s="122"/>
    </row>
    <row r="380">
      <c r="A380" s="154"/>
      <c r="B380" s="126"/>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c r="AD380" s="122"/>
    </row>
    <row r="381">
      <c r="A381" s="154"/>
      <c r="B381" s="126"/>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c r="AD381" s="122"/>
    </row>
    <row r="382">
      <c r="A382" s="154"/>
      <c r="B382" s="126"/>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c r="AD382" s="122"/>
    </row>
    <row r="383">
      <c r="A383" s="154"/>
      <c r="B383" s="126"/>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c r="AD383" s="122"/>
    </row>
    <row r="384">
      <c r="A384" s="154"/>
      <c r="B384" s="126"/>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c r="AD384" s="122"/>
    </row>
    <row r="385">
      <c r="A385" s="154"/>
      <c r="B385" s="126"/>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c r="AD385" s="122"/>
    </row>
    <row r="386">
      <c r="A386" s="154"/>
      <c r="B386" s="126"/>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c r="AD386" s="122"/>
    </row>
    <row r="387">
      <c r="A387" s="154"/>
      <c r="B387" s="126"/>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c r="AD387" s="122"/>
    </row>
    <row r="388">
      <c r="A388" s="154"/>
      <c r="B388" s="126"/>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c r="AD388" s="122"/>
    </row>
    <row r="389">
      <c r="A389" s="154"/>
      <c r="B389" s="126"/>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c r="AD389" s="122"/>
    </row>
    <row r="390">
      <c r="A390" s="154"/>
      <c r="B390" s="126"/>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2"/>
    </row>
    <row r="391">
      <c r="A391" s="154"/>
      <c r="B391" s="126"/>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c r="AD391" s="122"/>
    </row>
    <row r="392">
      <c r="A392" s="154"/>
      <c r="B392" s="126"/>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c r="AD392" s="122"/>
    </row>
    <row r="393">
      <c r="A393" s="154"/>
      <c r="B393" s="126"/>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c r="AD393" s="122"/>
    </row>
    <row r="394">
      <c r="A394" s="154"/>
      <c r="B394" s="126"/>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c r="AD394" s="122"/>
    </row>
    <row r="395">
      <c r="A395" s="154"/>
      <c r="B395" s="126"/>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c r="AD395" s="122"/>
    </row>
    <row r="396">
      <c r="A396" s="154"/>
      <c r="B396" s="126"/>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c r="AD396" s="122"/>
    </row>
    <row r="397">
      <c r="A397" s="154"/>
      <c r="B397" s="126"/>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c r="AD397" s="122"/>
    </row>
    <row r="398">
      <c r="A398" s="154"/>
      <c r="B398" s="126"/>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c r="AD398" s="122"/>
    </row>
    <row r="399">
      <c r="A399" s="154"/>
      <c r="B399" s="126"/>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c r="AD399" s="122"/>
    </row>
    <row r="400">
      <c r="A400" s="154"/>
      <c r="B400" s="126"/>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c r="AD400" s="122"/>
    </row>
    <row r="401">
      <c r="A401" s="154"/>
      <c r="B401" s="126"/>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c r="AD401" s="122"/>
    </row>
    <row r="402">
      <c r="A402" s="154"/>
      <c r="B402" s="126"/>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c r="AD402" s="122"/>
    </row>
    <row r="403">
      <c r="A403" s="154"/>
      <c r="B403" s="126"/>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c r="AD403" s="122"/>
    </row>
    <row r="404">
      <c r="A404" s="154"/>
      <c r="B404" s="126"/>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c r="AD404" s="122"/>
    </row>
    <row r="405">
      <c r="A405" s="154"/>
      <c r="B405" s="126"/>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c r="AD405" s="122"/>
    </row>
    <row r="406">
      <c r="A406" s="154"/>
      <c r="B406" s="126"/>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c r="AD406" s="122"/>
    </row>
    <row r="407">
      <c r="A407" s="154"/>
      <c r="B407" s="126"/>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c r="AD407" s="122"/>
    </row>
    <row r="408">
      <c r="A408" s="154"/>
      <c r="B408" s="126"/>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c r="AD408" s="122"/>
    </row>
    <row r="409">
      <c r="A409" s="154"/>
      <c r="B409" s="126"/>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2"/>
    </row>
    <row r="410">
      <c r="A410" s="154"/>
      <c r="B410" s="126"/>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c r="AD410" s="122"/>
    </row>
    <row r="411">
      <c r="A411" s="154"/>
      <c r="B411" s="126"/>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c r="AD411" s="122"/>
    </row>
    <row r="412">
      <c r="A412" s="154"/>
      <c r="B412" s="126"/>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c r="AD412" s="122"/>
    </row>
    <row r="413">
      <c r="A413" s="154"/>
      <c r="B413" s="126"/>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c r="AD413" s="122"/>
    </row>
    <row r="414">
      <c r="A414" s="154"/>
      <c r="B414" s="126"/>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2"/>
    </row>
    <row r="415">
      <c r="A415" s="154"/>
      <c r="B415" s="126"/>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c r="AD415" s="122"/>
    </row>
    <row r="416">
      <c r="A416" s="154"/>
      <c r="B416" s="126"/>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c r="AD416" s="122"/>
    </row>
    <row r="417">
      <c r="A417" s="154"/>
      <c r="B417" s="126"/>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c r="AD417" s="122"/>
    </row>
    <row r="418">
      <c r="A418" s="154"/>
      <c r="B418" s="126"/>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c r="AD418" s="122"/>
    </row>
    <row r="419">
      <c r="A419" s="154"/>
      <c r="B419" s="126"/>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c r="AD419" s="122"/>
    </row>
    <row r="420">
      <c r="A420" s="154"/>
      <c r="B420" s="126"/>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c r="AD420" s="122"/>
    </row>
    <row r="421">
      <c r="A421" s="154"/>
      <c r="B421" s="126"/>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c r="AD421" s="122"/>
    </row>
    <row r="422">
      <c r="A422" s="154"/>
      <c r="B422" s="126"/>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c r="AD422" s="122"/>
    </row>
    <row r="423">
      <c r="A423" s="154"/>
      <c r="B423" s="126"/>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c r="AD423" s="122"/>
    </row>
    <row r="424">
      <c r="A424" s="154"/>
      <c r="B424" s="126"/>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c r="AD424" s="122"/>
    </row>
    <row r="425">
      <c r="A425" s="154"/>
      <c r="B425" s="126"/>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c r="AD425" s="122"/>
    </row>
    <row r="426">
      <c r="A426" s="154"/>
      <c r="B426" s="126"/>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c r="AD426" s="122"/>
    </row>
    <row r="427">
      <c r="A427" s="154"/>
      <c r="B427" s="126"/>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c r="AD427" s="122"/>
    </row>
    <row r="428">
      <c r="A428" s="154"/>
      <c r="B428" s="126"/>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c r="AD428" s="122"/>
    </row>
    <row r="429">
      <c r="A429" s="154"/>
      <c r="B429" s="126"/>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c r="AD429" s="122"/>
    </row>
    <row r="430">
      <c r="A430" s="154"/>
      <c r="B430" s="126"/>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c r="AD430" s="122"/>
    </row>
    <row r="431">
      <c r="A431" s="154"/>
      <c r="B431" s="126"/>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c r="AD431" s="122"/>
    </row>
    <row r="432">
      <c r="A432" s="154"/>
      <c r="B432" s="126"/>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c r="AD432" s="122"/>
    </row>
    <row r="433">
      <c r="A433" s="154"/>
      <c r="B433" s="126"/>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c r="AD433" s="122"/>
    </row>
    <row r="434">
      <c r="A434" s="154"/>
      <c r="B434" s="126"/>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2"/>
    </row>
    <row r="435">
      <c r="A435" s="154"/>
      <c r="B435" s="126"/>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c r="AD435" s="122"/>
    </row>
    <row r="436">
      <c r="A436" s="154"/>
      <c r="B436" s="126"/>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c r="AD436" s="122"/>
    </row>
    <row r="437">
      <c r="A437" s="154"/>
      <c r="B437" s="126"/>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c r="AD437" s="122"/>
    </row>
    <row r="438">
      <c r="A438" s="154"/>
      <c r="B438" s="126"/>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c r="AD438" s="122"/>
    </row>
    <row r="439">
      <c r="A439" s="154"/>
      <c r="B439" s="126"/>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c r="AD439" s="122"/>
    </row>
    <row r="440">
      <c r="A440" s="154"/>
      <c r="B440" s="126"/>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c r="AD440" s="122"/>
    </row>
    <row r="441">
      <c r="A441" s="154"/>
      <c r="B441" s="126"/>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c r="AD441" s="122"/>
    </row>
    <row r="442">
      <c r="A442" s="154"/>
      <c r="B442" s="126"/>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c r="AD442" s="122"/>
    </row>
    <row r="443">
      <c r="A443" s="154"/>
      <c r="B443" s="126"/>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c r="AD443" s="122"/>
    </row>
    <row r="444">
      <c r="A444" s="154"/>
      <c r="B444" s="126"/>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c r="AD444" s="122"/>
    </row>
    <row r="445">
      <c r="A445" s="154"/>
      <c r="B445" s="126"/>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c r="AD445" s="122"/>
    </row>
    <row r="446">
      <c r="A446" s="154"/>
      <c r="B446" s="126"/>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c r="AD446" s="122"/>
    </row>
    <row r="447">
      <c r="A447" s="154"/>
      <c r="B447" s="126"/>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c r="AD447" s="122"/>
    </row>
    <row r="448">
      <c r="A448" s="154"/>
      <c r="B448" s="126"/>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c r="AD448" s="122"/>
    </row>
    <row r="449">
      <c r="A449" s="154"/>
      <c r="B449" s="126"/>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c r="AD449" s="122"/>
    </row>
    <row r="450">
      <c r="A450" s="154"/>
      <c r="B450" s="126"/>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c r="AD450" s="122"/>
    </row>
    <row r="451">
      <c r="A451" s="154"/>
      <c r="B451" s="126"/>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c r="AD451" s="122"/>
    </row>
    <row r="452">
      <c r="A452" s="154"/>
      <c r="B452" s="126"/>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c r="AD452" s="122"/>
    </row>
    <row r="453">
      <c r="A453" s="154"/>
      <c r="B453" s="126"/>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c r="AD453" s="122"/>
    </row>
    <row r="454">
      <c r="A454" s="154"/>
      <c r="B454" s="126"/>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c r="AD454" s="122"/>
    </row>
    <row r="455">
      <c r="A455" s="154"/>
      <c r="B455" s="126"/>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c r="AD455" s="122"/>
    </row>
    <row r="456">
      <c r="A456" s="154"/>
      <c r="B456" s="126"/>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c r="AD456" s="122"/>
    </row>
    <row r="457">
      <c r="A457" s="154"/>
      <c r="B457" s="126"/>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c r="AD457" s="122"/>
    </row>
    <row r="458">
      <c r="A458" s="154"/>
      <c r="B458" s="126"/>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c r="AD458" s="122"/>
    </row>
    <row r="459">
      <c r="A459" s="154"/>
      <c r="B459" s="126"/>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c r="AD459" s="122"/>
    </row>
    <row r="460">
      <c r="A460" s="154"/>
      <c r="B460" s="126"/>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c r="AD460" s="122"/>
    </row>
    <row r="461">
      <c r="A461" s="154"/>
      <c r="B461" s="126"/>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c r="AD461" s="122"/>
    </row>
    <row r="462">
      <c r="A462" s="154"/>
      <c r="B462" s="126"/>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c r="AD462" s="122"/>
    </row>
    <row r="463">
      <c r="A463" s="154"/>
      <c r="B463" s="126"/>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c r="AD463" s="122"/>
    </row>
    <row r="464">
      <c r="A464" s="154"/>
      <c r="B464" s="126"/>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c r="AD464" s="122"/>
    </row>
    <row r="465">
      <c r="A465" s="154"/>
      <c r="B465" s="126"/>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c r="AD465" s="122"/>
    </row>
    <row r="466">
      <c r="A466" s="154"/>
      <c r="B466" s="126"/>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c r="AD466" s="122"/>
    </row>
    <row r="467">
      <c r="A467" s="154"/>
      <c r="B467" s="126"/>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2"/>
    </row>
    <row r="468">
      <c r="A468" s="154"/>
      <c r="B468" s="126"/>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c r="AD468" s="122"/>
    </row>
    <row r="469">
      <c r="A469" s="154"/>
      <c r="B469" s="126"/>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2"/>
    </row>
    <row r="470">
      <c r="A470" s="154"/>
      <c r="B470" s="126"/>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c r="AD470" s="122"/>
    </row>
    <row r="471">
      <c r="A471" s="154"/>
      <c r="B471" s="126"/>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c r="AD471" s="122"/>
    </row>
    <row r="472">
      <c r="A472" s="154"/>
      <c r="B472" s="126"/>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2"/>
    </row>
    <row r="473">
      <c r="A473" s="154"/>
      <c r="B473" s="126"/>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c r="AD473" s="122"/>
    </row>
    <row r="474">
      <c r="A474" s="154"/>
      <c r="B474" s="126"/>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2"/>
    </row>
    <row r="475">
      <c r="A475" s="154"/>
      <c r="B475" s="126"/>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c r="AD475" s="122"/>
    </row>
    <row r="476">
      <c r="A476" s="154"/>
      <c r="B476" s="126"/>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c r="AD476" s="122"/>
    </row>
    <row r="477">
      <c r="A477" s="154"/>
      <c r="B477" s="126"/>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2"/>
    </row>
    <row r="478">
      <c r="A478" s="154"/>
      <c r="B478" s="126"/>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c r="AD478" s="122"/>
    </row>
    <row r="479">
      <c r="A479" s="154"/>
      <c r="B479" s="126"/>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2"/>
    </row>
    <row r="480">
      <c r="A480" s="154"/>
      <c r="B480" s="126"/>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c r="AD480" s="122"/>
    </row>
    <row r="481">
      <c r="A481" s="154"/>
      <c r="B481" s="126"/>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c r="AD481" s="122"/>
    </row>
    <row r="482">
      <c r="A482" s="154"/>
      <c r="B482" s="126"/>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2"/>
    </row>
    <row r="483">
      <c r="A483" s="154"/>
      <c r="B483" s="126"/>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c r="AD483" s="122"/>
    </row>
    <row r="484">
      <c r="A484" s="154"/>
      <c r="B484" s="126"/>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c r="AD484" s="122"/>
    </row>
    <row r="485">
      <c r="A485" s="154"/>
      <c r="B485" s="126"/>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c r="AD485" s="122"/>
    </row>
    <row r="486">
      <c r="A486" s="154"/>
      <c r="B486" s="126"/>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row>
    <row r="487">
      <c r="A487" s="154"/>
      <c r="B487" s="126"/>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2"/>
    </row>
    <row r="488">
      <c r="A488" s="154"/>
      <c r="B488" s="126"/>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c r="AD488" s="122"/>
    </row>
    <row r="489">
      <c r="A489" s="154"/>
      <c r="B489" s="126"/>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c r="AD489" s="122"/>
    </row>
    <row r="490">
      <c r="A490" s="154"/>
      <c r="B490" s="126"/>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c r="AD490" s="122"/>
    </row>
    <row r="491">
      <c r="A491" s="154"/>
      <c r="B491" s="126"/>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c r="AD491" s="122"/>
    </row>
    <row r="492">
      <c r="A492" s="154"/>
      <c r="B492" s="126"/>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2"/>
    </row>
    <row r="493">
      <c r="A493" s="154"/>
      <c r="B493" s="126"/>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c r="AD493" s="122"/>
    </row>
    <row r="494">
      <c r="A494" s="154"/>
      <c r="B494" s="126"/>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c r="AD494" s="122"/>
    </row>
    <row r="495">
      <c r="A495" s="154"/>
      <c r="B495" s="126"/>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c r="AD495" s="122"/>
    </row>
    <row r="496">
      <c r="A496" s="154"/>
      <c r="B496" s="126"/>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2"/>
    </row>
    <row r="497">
      <c r="A497" s="154"/>
      <c r="B497" s="126"/>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2"/>
    </row>
    <row r="498">
      <c r="A498" s="154"/>
      <c r="B498" s="126"/>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c r="AD498" s="122"/>
    </row>
    <row r="499">
      <c r="A499" s="154"/>
      <c r="B499" s="126"/>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c r="AD499" s="122"/>
    </row>
    <row r="500">
      <c r="A500" s="154"/>
      <c r="B500" s="126"/>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2"/>
    </row>
    <row r="501">
      <c r="A501" s="154"/>
      <c r="B501" s="126"/>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c r="AD501" s="122"/>
    </row>
    <row r="502">
      <c r="A502" s="154"/>
      <c r="B502" s="126"/>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2"/>
    </row>
    <row r="503">
      <c r="A503" s="154"/>
      <c r="B503" s="126"/>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c r="AD503" s="122"/>
    </row>
    <row r="504">
      <c r="A504" s="154"/>
      <c r="B504" s="126"/>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c r="AD504" s="122"/>
    </row>
    <row r="505">
      <c r="A505" s="154"/>
      <c r="B505" s="126"/>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c r="AD505" s="122"/>
    </row>
    <row r="506">
      <c r="A506" s="154"/>
      <c r="B506" s="126"/>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c r="AD506" s="122"/>
    </row>
    <row r="507">
      <c r="A507" s="154"/>
      <c r="B507" s="126"/>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2"/>
    </row>
    <row r="508">
      <c r="A508" s="154"/>
      <c r="B508" s="126"/>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c r="AD508" s="122"/>
    </row>
    <row r="509">
      <c r="A509" s="154"/>
      <c r="B509" s="126"/>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2"/>
    </row>
    <row r="510">
      <c r="A510" s="154"/>
      <c r="B510" s="126"/>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c r="AD510" s="122"/>
    </row>
    <row r="511">
      <c r="A511" s="154"/>
      <c r="B511" s="126"/>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c r="AD511" s="122"/>
    </row>
    <row r="512">
      <c r="A512" s="154"/>
      <c r="B512" s="126"/>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2"/>
    </row>
    <row r="513">
      <c r="A513" s="154"/>
      <c r="B513" s="126"/>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c r="AD513" s="122"/>
    </row>
    <row r="514">
      <c r="A514" s="154"/>
      <c r="B514" s="126"/>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c r="AD514" s="122"/>
    </row>
    <row r="515">
      <c r="A515" s="154"/>
      <c r="B515" s="126"/>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c r="AD515" s="122"/>
    </row>
    <row r="516">
      <c r="A516" s="154"/>
      <c r="B516" s="126"/>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c r="AD516" s="122"/>
    </row>
    <row r="517">
      <c r="A517" s="154"/>
      <c r="B517" s="126"/>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2"/>
    </row>
    <row r="518">
      <c r="A518" s="154"/>
      <c r="B518" s="126"/>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c r="AD518" s="122"/>
    </row>
    <row r="519">
      <c r="A519" s="154"/>
      <c r="B519" s="126"/>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c r="AD519" s="122"/>
    </row>
    <row r="520">
      <c r="A520" s="154"/>
      <c r="B520" s="126"/>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c r="AD520" s="122"/>
    </row>
    <row r="521">
      <c r="A521" s="154"/>
      <c r="B521" s="126"/>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c r="AD521" s="122"/>
    </row>
    <row r="522">
      <c r="A522" s="154"/>
      <c r="B522" s="126"/>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2"/>
    </row>
    <row r="523">
      <c r="A523" s="154"/>
      <c r="B523" s="126"/>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c r="AD523" s="122"/>
    </row>
    <row r="524">
      <c r="A524" s="154"/>
      <c r="B524" s="126"/>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c r="AD524" s="122"/>
    </row>
    <row r="525">
      <c r="A525" s="154"/>
      <c r="B525" s="126"/>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c r="AD525" s="122"/>
    </row>
    <row r="526">
      <c r="A526" s="154"/>
      <c r="B526" s="126"/>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c r="AD526" s="122"/>
    </row>
    <row r="527">
      <c r="A527" s="154"/>
      <c r="B527" s="126"/>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c r="AD527" s="122"/>
    </row>
    <row r="528">
      <c r="A528" s="154"/>
      <c r="B528" s="126"/>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c r="AD528" s="122"/>
    </row>
    <row r="529">
      <c r="A529" s="154"/>
      <c r="B529" s="126"/>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c r="AD529" s="122"/>
    </row>
    <row r="530">
      <c r="A530" s="154"/>
      <c r="B530" s="126"/>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c r="AD530" s="122"/>
    </row>
    <row r="531">
      <c r="A531" s="154"/>
      <c r="B531" s="126"/>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c r="AD531" s="122"/>
    </row>
    <row r="532">
      <c r="A532" s="154"/>
      <c r="B532" s="126"/>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c r="AD532" s="122"/>
    </row>
    <row r="533">
      <c r="A533" s="154"/>
      <c r="B533" s="126"/>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c r="AD533" s="122"/>
    </row>
    <row r="534">
      <c r="A534" s="154"/>
      <c r="B534" s="126"/>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c r="AD534" s="122"/>
    </row>
    <row r="535">
      <c r="A535" s="154"/>
      <c r="B535" s="126"/>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c r="AD535" s="122"/>
    </row>
    <row r="536">
      <c r="A536" s="154"/>
      <c r="B536" s="126"/>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c r="AD536" s="122"/>
    </row>
    <row r="537">
      <c r="A537" s="154"/>
      <c r="B537" s="126"/>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c r="AD537" s="122"/>
    </row>
    <row r="538">
      <c r="A538" s="154"/>
      <c r="B538" s="126"/>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c r="AD538" s="122"/>
    </row>
    <row r="539">
      <c r="A539" s="154"/>
      <c r="B539" s="126"/>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2"/>
    </row>
    <row r="540">
      <c r="A540" s="154"/>
      <c r="B540" s="126"/>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c r="AD540" s="122"/>
    </row>
    <row r="541">
      <c r="A541" s="154"/>
      <c r="B541" s="126"/>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2"/>
    </row>
    <row r="542">
      <c r="A542" s="154"/>
      <c r="B542" s="126"/>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c r="AD542" s="122"/>
    </row>
    <row r="543">
      <c r="A543" s="154"/>
      <c r="B543" s="126"/>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2"/>
    </row>
    <row r="544">
      <c r="A544" s="154"/>
      <c r="B544" s="126"/>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c r="AD544" s="122"/>
    </row>
    <row r="545">
      <c r="A545" s="154"/>
      <c r="B545" s="126"/>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c r="AD545" s="122"/>
    </row>
    <row r="546">
      <c r="A546" s="154"/>
      <c r="B546" s="126"/>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c r="AD546" s="122"/>
    </row>
    <row r="547">
      <c r="A547" s="154"/>
      <c r="B547" s="126"/>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c r="AD547" s="122"/>
    </row>
    <row r="548">
      <c r="A548" s="154"/>
      <c r="B548" s="126"/>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c r="AD548" s="122"/>
    </row>
    <row r="549">
      <c r="A549" s="154"/>
      <c r="B549" s="126"/>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c r="AD549" s="122"/>
    </row>
    <row r="550">
      <c r="A550" s="154"/>
      <c r="B550" s="126"/>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c r="AD550" s="122"/>
    </row>
    <row r="551">
      <c r="A551" s="154"/>
      <c r="B551" s="126"/>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c r="AD551" s="122"/>
    </row>
    <row r="552">
      <c r="A552" s="154"/>
      <c r="B552" s="126"/>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c r="AD552" s="122"/>
    </row>
    <row r="553">
      <c r="A553" s="154"/>
      <c r="B553" s="126"/>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c r="AD553" s="122"/>
    </row>
    <row r="554">
      <c r="A554" s="154"/>
      <c r="B554" s="126"/>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c r="AD554" s="122"/>
    </row>
    <row r="555">
      <c r="A555" s="154"/>
      <c r="B555" s="126"/>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c r="AD555" s="122"/>
    </row>
    <row r="556">
      <c r="A556" s="154"/>
      <c r="B556" s="126"/>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c r="AD556" s="122"/>
    </row>
    <row r="557">
      <c r="A557" s="154"/>
      <c r="B557" s="126"/>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c r="AD557" s="122"/>
    </row>
    <row r="558">
      <c r="A558" s="154"/>
      <c r="B558" s="126"/>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c r="AD558" s="122"/>
    </row>
    <row r="559">
      <c r="A559" s="154"/>
      <c r="B559" s="126"/>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c r="AD559" s="122"/>
    </row>
    <row r="560">
      <c r="A560" s="154"/>
      <c r="B560" s="126"/>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c r="AD560" s="122"/>
    </row>
    <row r="561">
      <c r="A561" s="154"/>
      <c r="B561" s="126"/>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c r="AD561" s="122"/>
    </row>
    <row r="562">
      <c r="A562" s="154"/>
      <c r="B562" s="126"/>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c r="AD562" s="122"/>
    </row>
    <row r="563">
      <c r="A563" s="154"/>
      <c r="B563" s="126"/>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c r="AD563" s="122"/>
    </row>
    <row r="564">
      <c r="A564" s="154"/>
      <c r="B564" s="126"/>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c r="AD564" s="122"/>
    </row>
    <row r="565">
      <c r="A565" s="154"/>
      <c r="B565" s="126"/>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c r="AD565" s="122"/>
    </row>
    <row r="566">
      <c r="A566" s="154"/>
      <c r="B566" s="126"/>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c r="AD566" s="122"/>
    </row>
    <row r="567">
      <c r="A567" s="154"/>
      <c r="B567" s="126"/>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c r="AD567" s="122"/>
    </row>
    <row r="568">
      <c r="A568" s="154"/>
      <c r="B568" s="126"/>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c r="AD568" s="122"/>
    </row>
    <row r="569">
      <c r="A569" s="154"/>
      <c r="B569" s="126"/>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c r="AD569" s="122"/>
    </row>
    <row r="570">
      <c r="A570" s="154"/>
      <c r="B570" s="126"/>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c r="AD570" s="122"/>
    </row>
    <row r="571">
      <c r="A571" s="154"/>
      <c r="B571" s="126"/>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c r="AD571" s="122"/>
    </row>
    <row r="572">
      <c r="A572" s="154"/>
      <c r="B572" s="126"/>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c r="AD572" s="122"/>
    </row>
    <row r="573">
      <c r="A573" s="154"/>
      <c r="B573" s="126"/>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c r="AD573" s="122"/>
    </row>
    <row r="574">
      <c r="A574" s="154"/>
      <c r="B574" s="126"/>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c r="AD574" s="122"/>
    </row>
    <row r="575">
      <c r="A575" s="154"/>
      <c r="B575" s="126"/>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2"/>
    </row>
    <row r="576">
      <c r="A576" s="154"/>
      <c r="B576" s="126"/>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c r="AD576" s="122"/>
    </row>
    <row r="577">
      <c r="A577" s="154"/>
      <c r="B577" s="126"/>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c r="AD577" s="122"/>
    </row>
    <row r="578">
      <c r="A578" s="154"/>
      <c r="B578" s="126"/>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c r="AD578" s="122"/>
    </row>
    <row r="579">
      <c r="A579" s="154"/>
      <c r="B579" s="126"/>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c r="AD579" s="122"/>
    </row>
    <row r="580">
      <c r="A580" s="154"/>
      <c r="B580" s="126"/>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c r="AD580" s="122"/>
    </row>
    <row r="581">
      <c r="A581" s="154"/>
      <c r="B581" s="126"/>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c r="AD581" s="122"/>
    </row>
    <row r="582">
      <c r="A582" s="154"/>
      <c r="B582" s="126"/>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c r="AD582" s="122"/>
    </row>
    <row r="583">
      <c r="A583" s="154"/>
      <c r="B583" s="126"/>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c r="AD583" s="122"/>
    </row>
    <row r="584">
      <c r="A584" s="154"/>
      <c r="B584" s="126"/>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c r="AD584" s="122"/>
    </row>
    <row r="585">
      <c r="A585" s="154"/>
      <c r="B585" s="126"/>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c r="AD585" s="122"/>
    </row>
    <row r="586">
      <c r="A586" s="154"/>
      <c r="B586" s="126"/>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c r="AD586" s="122"/>
    </row>
    <row r="587">
      <c r="A587" s="154"/>
      <c r="B587" s="126"/>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row>
    <row r="588">
      <c r="A588" s="154"/>
      <c r="B588" s="126"/>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row>
    <row r="589">
      <c r="A589" s="154"/>
      <c r="B589" s="126"/>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c r="AD589" s="122"/>
    </row>
    <row r="590">
      <c r="A590" s="154"/>
      <c r="B590" s="126"/>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c r="AD590" s="122"/>
    </row>
    <row r="591">
      <c r="A591" s="154"/>
      <c r="B591" s="126"/>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c r="AD591" s="122"/>
    </row>
    <row r="592">
      <c r="A592" s="154"/>
      <c r="B592" s="126"/>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c r="AD592" s="122"/>
    </row>
    <row r="593">
      <c r="A593" s="154"/>
      <c r="B593" s="126"/>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c r="AD593" s="122"/>
    </row>
    <row r="594">
      <c r="A594" s="154"/>
      <c r="B594" s="126"/>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2"/>
    </row>
    <row r="595">
      <c r="A595" s="154"/>
      <c r="B595" s="126"/>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c r="AD595" s="122"/>
    </row>
    <row r="596">
      <c r="A596" s="154"/>
      <c r="B596" s="126"/>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2"/>
    </row>
    <row r="597">
      <c r="A597" s="154"/>
      <c r="B597" s="126"/>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c r="AD597" s="122"/>
    </row>
    <row r="598">
      <c r="A598" s="154"/>
      <c r="B598" s="126"/>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c r="AD598" s="122"/>
    </row>
    <row r="599">
      <c r="A599" s="154"/>
      <c r="B599" s="126"/>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c r="AD599" s="122"/>
    </row>
    <row r="600">
      <c r="A600" s="154"/>
      <c r="B600" s="126"/>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c r="AD600" s="122"/>
    </row>
    <row r="601">
      <c r="A601" s="154"/>
      <c r="B601" s="126"/>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c r="AD601" s="122"/>
    </row>
    <row r="602">
      <c r="A602" s="154"/>
      <c r="B602" s="126"/>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row>
    <row r="603">
      <c r="A603" s="154"/>
      <c r="B603" s="126"/>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row>
    <row r="604">
      <c r="A604" s="154"/>
      <c r="B604" s="126"/>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c r="AD604" s="122"/>
    </row>
    <row r="605">
      <c r="A605" s="154"/>
      <c r="B605" s="126"/>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c r="AD605" s="122"/>
    </row>
    <row r="606">
      <c r="A606" s="154"/>
      <c r="B606" s="126"/>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c r="AD606" s="122"/>
    </row>
    <row r="607">
      <c r="A607" s="154"/>
      <c r="B607" s="126"/>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c r="AD607" s="122"/>
    </row>
    <row r="608">
      <c r="A608" s="154"/>
      <c r="B608" s="126"/>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c r="AD608" s="122"/>
    </row>
    <row r="609">
      <c r="A609" s="154"/>
      <c r="B609" s="126"/>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c r="AD609" s="122"/>
    </row>
    <row r="610">
      <c r="A610" s="154"/>
      <c r="B610" s="126"/>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c r="AD610" s="122"/>
    </row>
    <row r="611">
      <c r="A611" s="154"/>
      <c r="B611" s="126"/>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c r="AD611" s="122"/>
    </row>
    <row r="612">
      <c r="A612" s="154"/>
      <c r="B612" s="126"/>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c r="AD612" s="122"/>
    </row>
    <row r="613">
      <c r="A613" s="154"/>
      <c r="B613" s="126"/>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c r="AD613" s="122"/>
    </row>
    <row r="614">
      <c r="A614" s="154"/>
      <c r="B614" s="126"/>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c r="AD614" s="122"/>
    </row>
    <row r="615">
      <c r="A615" s="154"/>
      <c r="B615" s="126"/>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c r="AD615" s="122"/>
    </row>
    <row r="616">
      <c r="A616" s="154"/>
      <c r="B616" s="126"/>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c r="AD616" s="122"/>
    </row>
    <row r="617">
      <c r="A617" s="154"/>
      <c r="B617" s="126"/>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row>
    <row r="618">
      <c r="A618" s="154"/>
      <c r="B618" s="126"/>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c r="AD618" s="122"/>
    </row>
    <row r="619">
      <c r="A619" s="154"/>
      <c r="B619" s="126"/>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c r="AD619" s="122"/>
    </row>
    <row r="620">
      <c r="A620" s="154"/>
      <c r="B620" s="126"/>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c r="AD620" s="122"/>
    </row>
    <row r="621">
      <c r="A621" s="154"/>
      <c r="B621" s="126"/>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c r="AD621" s="122"/>
    </row>
    <row r="622">
      <c r="A622" s="154"/>
      <c r="B622" s="126"/>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c r="AD622" s="122"/>
    </row>
    <row r="623">
      <c r="A623" s="154"/>
      <c r="B623" s="126"/>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c r="AD623" s="122"/>
    </row>
    <row r="624">
      <c r="A624" s="154"/>
      <c r="B624" s="126"/>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c r="AD624" s="122"/>
    </row>
    <row r="625">
      <c r="A625" s="154"/>
      <c r="B625" s="126"/>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c r="AD625" s="122"/>
    </row>
    <row r="626">
      <c r="A626" s="154"/>
      <c r="B626" s="126"/>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c r="AD626" s="122"/>
    </row>
    <row r="627">
      <c r="A627" s="154"/>
      <c r="B627" s="126"/>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c r="AD627" s="122"/>
    </row>
    <row r="628">
      <c r="A628" s="154"/>
      <c r="B628" s="126"/>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c r="AD628" s="122"/>
    </row>
    <row r="629">
      <c r="A629" s="154"/>
      <c r="B629" s="126"/>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c r="AD629" s="122"/>
    </row>
    <row r="630">
      <c r="A630" s="154"/>
      <c r="B630" s="126"/>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c r="AD630" s="122"/>
    </row>
    <row r="631">
      <c r="A631" s="154"/>
      <c r="B631" s="126"/>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c r="AD631" s="122"/>
    </row>
    <row r="632">
      <c r="A632" s="154"/>
      <c r="B632" s="126"/>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c r="AD632" s="122"/>
    </row>
    <row r="633">
      <c r="A633" s="154"/>
      <c r="B633" s="126"/>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c r="AD633" s="122"/>
    </row>
    <row r="634">
      <c r="A634" s="154"/>
      <c r="B634" s="126"/>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c r="AD634" s="122"/>
    </row>
    <row r="635">
      <c r="A635" s="154"/>
      <c r="B635" s="126"/>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c r="AD635" s="122"/>
    </row>
    <row r="636">
      <c r="A636" s="154"/>
      <c r="B636" s="126"/>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c r="AD636" s="122"/>
    </row>
    <row r="637">
      <c r="A637" s="154"/>
      <c r="B637" s="126"/>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c r="AD637" s="122"/>
    </row>
    <row r="638">
      <c r="A638" s="154"/>
      <c r="B638" s="126"/>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c r="AD638" s="122"/>
    </row>
    <row r="639">
      <c r="A639" s="154"/>
      <c r="B639" s="126"/>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c r="AD639" s="122"/>
    </row>
    <row r="640">
      <c r="A640" s="154"/>
      <c r="B640" s="126"/>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c r="AD640" s="122"/>
    </row>
    <row r="641">
      <c r="A641" s="154"/>
      <c r="B641" s="126"/>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c r="AD641" s="122"/>
    </row>
    <row r="642">
      <c r="A642" s="154"/>
      <c r="B642" s="126"/>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c r="AD642" s="122"/>
    </row>
    <row r="643">
      <c r="A643" s="154"/>
      <c r="B643" s="126"/>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c r="AD643" s="122"/>
    </row>
    <row r="644">
      <c r="A644" s="154"/>
      <c r="B644" s="126"/>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c r="AD644" s="122"/>
    </row>
    <row r="645">
      <c r="A645" s="154"/>
      <c r="B645" s="126"/>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c r="AD645" s="122"/>
    </row>
    <row r="646">
      <c r="A646" s="154"/>
      <c r="B646" s="126"/>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c r="AD646" s="122"/>
    </row>
    <row r="647">
      <c r="A647" s="154"/>
      <c r="B647" s="126"/>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c r="AD647" s="122"/>
    </row>
    <row r="648">
      <c r="A648" s="154"/>
      <c r="B648" s="126"/>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2"/>
    </row>
    <row r="649">
      <c r="A649" s="154"/>
      <c r="B649" s="126"/>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c r="AD649" s="122"/>
    </row>
    <row r="650">
      <c r="A650" s="154"/>
      <c r="B650" s="126"/>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c r="AD650" s="122"/>
    </row>
    <row r="651">
      <c r="A651" s="154"/>
      <c r="B651" s="126"/>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c r="AD651" s="122"/>
    </row>
    <row r="652">
      <c r="A652" s="154"/>
      <c r="B652" s="126"/>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c r="AD652" s="122"/>
    </row>
    <row r="653">
      <c r="A653" s="154"/>
      <c r="B653" s="126"/>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c r="AD653" s="122"/>
    </row>
    <row r="654">
      <c r="A654" s="154"/>
      <c r="B654" s="126"/>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c r="AD654" s="122"/>
    </row>
    <row r="655">
      <c r="A655" s="154"/>
      <c r="B655" s="126"/>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c r="AD655" s="122"/>
    </row>
    <row r="656">
      <c r="A656" s="154"/>
      <c r="B656" s="126"/>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c r="AD656" s="122"/>
    </row>
    <row r="657">
      <c r="A657" s="154"/>
      <c r="B657" s="126"/>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c r="AD657" s="122"/>
    </row>
    <row r="658">
      <c r="A658" s="154"/>
      <c r="B658" s="126"/>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c r="AD658" s="122"/>
    </row>
    <row r="659">
      <c r="A659" s="154"/>
      <c r="B659" s="126"/>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c r="AD659" s="122"/>
    </row>
    <row r="660">
      <c r="A660" s="154"/>
      <c r="B660" s="126"/>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c r="AD660" s="122"/>
    </row>
    <row r="661">
      <c r="A661" s="154"/>
      <c r="B661" s="126"/>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c r="AD661" s="122"/>
    </row>
    <row r="662">
      <c r="A662" s="154"/>
      <c r="B662" s="126"/>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c r="AD662" s="122"/>
    </row>
    <row r="663">
      <c r="A663" s="154"/>
      <c r="B663" s="126"/>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c r="AD663" s="122"/>
    </row>
    <row r="664">
      <c r="A664" s="154"/>
      <c r="B664" s="126"/>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c r="AD664" s="122"/>
    </row>
    <row r="665">
      <c r="A665" s="154"/>
      <c r="B665" s="126"/>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c r="AD665" s="122"/>
    </row>
    <row r="666">
      <c r="A666" s="154"/>
      <c r="B666" s="126"/>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c r="AD666" s="122"/>
    </row>
    <row r="667">
      <c r="A667" s="154"/>
      <c r="B667" s="126"/>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c r="AD667" s="122"/>
    </row>
    <row r="668">
      <c r="A668" s="154"/>
      <c r="B668" s="126"/>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row>
    <row r="669">
      <c r="A669" s="154"/>
      <c r="B669" s="126"/>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c r="AD669" s="122"/>
    </row>
    <row r="670">
      <c r="A670" s="154"/>
      <c r="B670" s="126"/>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2"/>
    </row>
    <row r="671">
      <c r="A671" s="154"/>
      <c r="B671" s="126"/>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c r="AD671" s="122"/>
    </row>
    <row r="672">
      <c r="A672" s="154"/>
      <c r="B672" s="126"/>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row>
    <row r="673">
      <c r="A673" s="154"/>
      <c r="B673" s="126"/>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row>
    <row r="674">
      <c r="A674" s="154"/>
      <c r="B674" s="126"/>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row>
    <row r="675">
      <c r="A675" s="154"/>
      <c r="B675" s="126"/>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2"/>
    </row>
    <row r="676">
      <c r="A676" s="154"/>
      <c r="B676" s="126"/>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2"/>
    </row>
    <row r="677">
      <c r="A677" s="154"/>
      <c r="B677" s="126"/>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c r="AD677" s="122"/>
    </row>
    <row r="678">
      <c r="A678" s="154"/>
      <c r="B678" s="126"/>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row>
    <row r="679">
      <c r="A679" s="154"/>
      <c r="B679" s="126"/>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c r="AD679" s="122"/>
    </row>
    <row r="680">
      <c r="A680" s="154"/>
      <c r="B680" s="126"/>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2"/>
    </row>
    <row r="681">
      <c r="A681" s="154"/>
      <c r="B681" s="126"/>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c r="AD681" s="122"/>
    </row>
    <row r="682">
      <c r="A682" s="154"/>
      <c r="B682" s="126"/>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c r="AD682" s="122"/>
    </row>
    <row r="683">
      <c r="A683" s="154"/>
      <c r="B683" s="126"/>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row>
    <row r="684">
      <c r="A684" s="154"/>
      <c r="B684" s="126"/>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c r="AD684" s="122"/>
    </row>
    <row r="685">
      <c r="A685" s="154"/>
      <c r="B685" s="126"/>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c r="AD685" s="122"/>
    </row>
    <row r="686">
      <c r="A686" s="154"/>
      <c r="B686" s="126"/>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c r="AD686" s="122"/>
    </row>
    <row r="687">
      <c r="A687" s="154"/>
      <c r="B687" s="126"/>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row>
    <row r="688">
      <c r="A688" s="154"/>
      <c r="B688" s="126"/>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row>
    <row r="689">
      <c r="A689" s="154"/>
      <c r="B689" s="126"/>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row>
    <row r="690">
      <c r="A690" s="154"/>
      <c r="B690" s="126"/>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c r="AD690" s="122"/>
    </row>
    <row r="691">
      <c r="A691" s="154"/>
      <c r="B691" s="126"/>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c r="AD691" s="122"/>
    </row>
    <row r="692">
      <c r="A692" s="154"/>
      <c r="B692" s="126"/>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c r="AD692" s="122"/>
    </row>
    <row r="693">
      <c r="A693" s="154"/>
      <c r="B693" s="126"/>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row>
    <row r="694">
      <c r="A694" s="154"/>
      <c r="B694" s="126"/>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c r="AD694" s="122"/>
    </row>
    <row r="695">
      <c r="A695" s="154"/>
      <c r="B695" s="126"/>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c r="AD695" s="122"/>
    </row>
    <row r="696">
      <c r="A696" s="154"/>
      <c r="B696" s="126"/>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c r="AD696" s="122"/>
    </row>
    <row r="697">
      <c r="A697" s="154"/>
      <c r="B697" s="126"/>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c r="AD697" s="122"/>
    </row>
    <row r="698">
      <c r="A698" s="154"/>
      <c r="B698" s="126"/>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c r="AD698" s="122"/>
    </row>
    <row r="699">
      <c r="A699" s="154"/>
      <c r="B699" s="126"/>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c r="AD699" s="122"/>
    </row>
    <row r="700">
      <c r="A700" s="154"/>
      <c r="B700" s="126"/>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c r="AD700" s="122"/>
    </row>
    <row r="701">
      <c r="A701" s="154"/>
      <c r="B701" s="126"/>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c r="AD701" s="122"/>
    </row>
    <row r="702">
      <c r="A702" s="154"/>
      <c r="B702" s="126"/>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c r="AD702" s="122"/>
    </row>
    <row r="703">
      <c r="A703" s="154"/>
      <c r="B703" s="126"/>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c r="AD703" s="122"/>
    </row>
    <row r="704">
      <c r="A704" s="154"/>
      <c r="B704" s="126"/>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c r="AD704" s="122"/>
    </row>
    <row r="705">
      <c r="A705" s="154"/>
      <c r="B705" s="126"/>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c r="AD705" s="122"/>
    </row>
    <row r="706">
      <c r="A706" s="154"/>
      <c r="B706" s="126"/>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c r="AD706" s="122"/>
    </row>
    <row r="707">
      <c r="A707" s="154"/>
      <c r="B707" s="126"/>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c r="AD707" s="122"/>
    </row>
    <row r="708">
      <c r="A708" s="154"/>
      <c r="B708" s="126"/>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c r="AD708" s="122"/>
    </row>
    <row r="709">
      <c r="A709" s="154"/>
      <c r="B709" s="126"/>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c r="AD709" s="122"/>
    </row>
    <row r="710">
      <c r="A710" s="154"/>
      <c r="B710" s="126"/>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c r="AD710" s="122"/>
    </row>
    <row r="711">
      <c r="A711" s="154"/>
      <c r="B711" s="126"/>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c r="AD711" s="122"/>
    </row>
    <row r="712">
      <c r="A712" s="154"/>
      <c r="B712" s="126"/>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c r="AD712" s="122"/>
    </row>
    <row r="713">
      <c r="A713" s="154"/>
      <c r="B713" s="126"/>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c r="AD713" s="122"/>
    </row>
    <row r="714">
      <c r="A714" s="154"/>
      <c r="B714" s="126"/>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c r="AD714" s="122"/>
    </row>
    <row r="715">
      <c r="A715" s="154"/>
      <c r="B715" s="126"/>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c r="AD715" s="122"/>
    </row>
    <row r="716">
      <c r="A716" s="154"/>
      <c r="B716" s="126"/>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c r="AD716" s="122"/>
    </row>
    <row r="717">
      <c r="A717" s="154"/>
      <c r="B717" s="126"/>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c r="AD717" s="122"/>
    </row>
    <row r="718">
      <c r="A718" s="154"/>
      <c r="B718" s="126"/>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c r="AD718" s="122"/>
    </row>
    <row r="719">
      <c r="A719" s="154"/>
      <c r="B719" s="126"/>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c r="AD719" s="122"/>
    </row>
    <row r="720">
      <c r="A720" s="154"/>
      <c r="B720" s="126"/>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c r="AD720" s="122"/>
    </row>
    <row r="721">
      <c r="A721" s="154"/>
      <c r="B721" s="126"/>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c r="AD721" s="122"/>
    </row>
    <row r="722">
      <c r="A722" s="154"/>
      <c r="B722" s="126"/>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c r="AD722" s="122"/>
    </row>
    <row r="723">
      <c r="A723" s="154"/>
      <c r="B723" s="126"/>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c r="AD723" s="122"/>
    </row>
    <row r="724">
      <c r="A724" s="154"/>
      <c r="B724" s="126"/>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c r="AD724" s="122"/>
    </row>
    <row r="725">
      <c r="A725" s="154"/>
      <c r="B725" s="126"/>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c r="AD725" s="122"/>
    </row>
    <row r="726">
      <c r="A726" s="154"/>
      <c r="B726" s="126"/>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c r="AD726" s="122"/>
    </row>
    <row r="727">
      <c r="A727" s="154"/>
      <c r="B727" s="126"/>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c r="AD727" s="122"/>
    </row>
    <row r="728">
      <c r="A728" s="154"/>
      <c r="B728" s="126"/>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c r="AD728" s="122"/>
    </row>
    <row r="729">
      <c r="A729" s="154"/>
      <c r="B729" s="126"/>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c r="AD729" s="122"/>
    </row>
    <row r="730">
      <c r="A730" s="154"/>
      <c r="B730" s="126"/>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c r="AD730" s="122"/>
    </row>
    <row r="731">
      <c r="A731" s="154"/>
      <c r="B731" s="126"/>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c r="AD731" s="122"/>
    </row>
    <row r="732">
      <c r="A732" s="154"/>
      <c r="B732" s="126"/>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c r="AD732" s="122"/>
    </row>
    <row r="733">
      <c r="A733" s="154"/>
      <c r="B733" s="126"/>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c r="AD733" s="122"/>
    </row>
    <row r="734">
      <c r="A734" s="154"/>
      <c r="B734" s="126"/>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c r="AD734" s="122"/>
    </row>
    <row r="735">
      <c r="A735" s="154"/>
      <c r="B735" s="126"/>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c r="AD735" s="122"/>
    </row>
    <row r="736">
      <c r="A736" s="154"/>
      <c r="B736" s="126"/>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c r="AD736" s="122"/>
    </row>
    <row r="737">
      <c r="A737" s="154"/>
      <c r="B737" s="126"/>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c r="AD737" s="122"/>
    </row>
    <row r="738">
      <c r="A738" s="154"/>
      <c r="B738" s="126"/>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c r="AD738" s="122"/>
    </row>
    <row r="739">
      <c r="A739" s="154"/>
      <c r="B739" s="126"/>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c r="AD739" s="122"/>
    </row>
    <row r="740">
      <c r="A740" s="154"/>
      <c r="B740" s="126"/>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c r="AD740" s="122"/>
    </row>
    <row r="741">
      <c r="A741" s="154"/>
      <c r="B741" s="126"/>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c r="AD741" s="122"/>
    </row>
    <row r="742">
      <c r="A742" s="154"/>
      <c r="B742" s="126"/>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c r="AD742" s="122"/>
    </row>
    <row r="743">
      <c r="A743" s="154"/>
      <c r="B743" s="126"/>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c r="AD743" s="122"/>
    </row>
    <row r="744">
      <c r="A744" s="154"/>
      <c r="B744" s="126"/>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c r="AD744" s="122"/>
    </row>
    <row r="745">
      <c r="A745" s="154"/>
      <c r="B745" s="126"/>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c r="AD745" s="122"/>
    </row>
    <row r="746">
      <c r="A746" s="154"/>
      <c r="B746" s="126"/>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c r="AD746" s="122"/>
    </row>
    <row r="747">
      <c r="A747" s="154"/>
      <c r="B747" s="126"/>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c r="AD747" s="122"/>
    </row>
    <row r="748">
      <c r="A748" s="154"/>
      <c r="B748" s="126"/>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c r="AD748" s="122"/>
    </row>
    <row r="749">
      <c r="A749" s="154"/>
      <c r="B749" s="126"/>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c r="AD749" s="122"/>
    </row>
    <row r="750">
      <c r="A750" s="154"/>
      <c r="B750" s="126"/>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c r="AD750" s="122"/>
    </row>
    <row r="751">
      <c r="A751" s="154"/>
      <c r="B751" s="126"/>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c r="AD751" s="122"/>
    </row>
    <row r="752">
      <c r="A752" s="154"/>
      <c r="B752" s="126"/>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2"/>
    </row>
    <row r="753">
      <c r="A753" s="154"/>
      <c r="B753" s="126"/>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c r="AD753" s="122"/>
    </row>
    <row r="754">
      <c r="A754" s="154"/>
      <c r="B754" s="126"/>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c r="AD754" s="122"/>
    </row>
    <row r="755">
      <c r="A755" s="154"/>
      <c r="B755" s="126"/>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c r="AD755" s="122"/>
    </row>
    <row r="756">
      <c r="A756" s="154"/>
      <c r="B756" s="126"/>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c r="AD756" s="122"/>
    </row>
    <row r="757">
      <c r="A757" s="154"/>
      <c r="B757" s="126"/>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c r="AD757" s="122"/>
    </row>
    <row r="758">
      <c r="A758" s="154"/>
      <c r="B758" s="126"/>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c r="AD758" s="122"/>
    </row>
    <row r="759">
      <c r="A759" s="154"/>
      <c r="B759" s="126"/>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c r="AD759" s="122"/>
    </row>
    <row r="760">
      <c r="A760" s="154"/>
      <c r="B760" s="126"/>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c r="AD760" s="122"/>
    </row>
    <row r="761">
      <c r="A761" s="154"/>
      <c r="B761" s="126"/>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c r="AD761" s="122"/>
    </row>
    <row r="762">
      <c r="A762" s="154"/>
      <c r="B762" s="126"/>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c r="AD762" s="122"/>
    </row>
    <row r="763">
      <c r="A763" s="154"/>
      <c r="B763" s="126"/>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c r="AD763" s="122"/>
    </row>
    <row r="764">
      <c r="A764" s="154"/>
      <c r="B764" s="126"/>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c r="AD764" s="122"/>
    </row>
    <row r="765">
      <c r="A765" s="154"/>
      <c r="B765" s="126"/>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c r="AD765" s="122"/>
    </row>
    <row r="766">
      <c r="A766" s="154"/>
      <c r="B766" s="126"/>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c r="AD766" s="122"/>
    </row>
    <row r="767">
      <c r="A767" s="154"/>
      <c r="B767" s="126"/>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c r="AD767" s="122"/>
    </row>
    <row r="768">
      <c r="A768" s="154"/>
      <c r="B768" s="126"/>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c r="AD768" s="122"/>
    </row>
    <row r="769">
      <c r="A769" s="154"/>
      <c r="B769" s="126"/>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c r="AD769" s="122"/>
    </row>
    <row r="770">
      <c r="A770" s="154"/>
      <c r="B770" s="126"/>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c r="AD770" s="122"/>
    </row>
    <row r="771">
      <c r="A771" s="154"/>
      <c r="B771" s="126"/>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c r="AD771" s="122"/>
    </row>
    <row r="772">
      <c r="A772" s="154"/>
      <c r="B772" s="126"/>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c r="AD772" s="122"/>
    </row>
    <row r="773">
      <c r="A773" s="154"/>
      <c r="B773" s="126"/>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c r="AD773" s="122"/>
    </row>
    <row r="774">
      <c r="A774" s="154"/>
      <c r="B774" s="126"/>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c r="AD774" s="122"/>
    </row>
    <row r="775">
      <c r="A775" s="154"/>
      <c r="B775" s="126"/>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c r="AD775" s="122"/>
    </row>
    <row r="776">
      <c r="A776" s="154"/>
      <c r="B776" s="126"/>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c r="AD776" s="122"/>
    </row>
    <row r="777">
      <c r="A777" s="154"/>
      <c r="B777" s="126"/>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c r="AD777" s="122"/>
    </row>
    <row r="778">
      <c r="A778" s="154"/>
      <c r="B778" s="126"/>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c r="AD778" s="122"/>
    </row>
    <row r="779">
      <c r="A779" s="154"/>
      <c r="B779" s="126"/>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c r="AD779" s="122"/>
    </row>
    <row r="780">
      <c r="A780" s="154"/>
      <c r="B780" s="126"/>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c r="AD780" s="122"/>
    </row>
    <row r="781">
      <c r="A781" s="154"/>
      <c r="B781" s="126"/>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c r="AD781" s="122"/>
    </row>
    <row r="782">
      <c r="A782" s="154"/>
      <c r="B782" s="126"/>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c r="AD782" s="122"/>
    </row>
    <row r="783">
      <c r="A783" s="154"/>
      <c r="B783" s="126"/>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c r="AD783" s="122"/>
    </row>
    <row r="784">
      <c r="A784" s="154"/>
      <c r="B784" s="126"/>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c r="AD784" s="122"/>
    </row>
    <row r="785">
      <c r="A785" s="154"/>
      <c r="B785" s="126"/>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c r="AD785" s="122"/>
    </row>
    <row r="786">
      <c r="A786" s="154"/>
      <c r="B786" s="126"/>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c r="AD786" s="122"/>
    </row>
    <row r="787">
      <c r="A787" s="154"/>
      <c r="B787" s="126"/>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c r="AD787" s="122"/>
    </row>
    <row r="788">
      <c r="A788" s="154"/>
      <c r="B788" s="126"/>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c r="AD788" s="122"/>
    </row>
    <row r="789">
      <c r="A789" s="154"/>
      <c r="B789" s="126"/>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c r="AD789" s="122"/>
    </row>
    <row r="790">
      <c r="A790" s="154"/>
      <c r="B790" s="126"/>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c r="AD790" s="122"/>
    </row>
    <row r="791">
      <c r="A791" s="154"/>
      <c r="B791" s="126"/>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c r="AD791" s="122"/>
    </row>
    <row r="792">
      <c r="A792" s="154"/>
      <c r="B792" s="126"/>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c r="AD792" s="122"/>
    </row>
    <row r="793">
      <c r="A793" s="154"/>
      <c r="B793" s="126"/>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c r="AD793" s="122"/>
    </row>
    <row r="794">
      <c r="A794" s="154"/>
      <c r="B794" s="126"/>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c r="AD794" s="122"/>
    </row>
    <row r="795">
      <c r="A795" s="154"/>
      <c r="B795" s="126"/>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c r="AD795" s="122"/>
    </row>
    <row r="796">
      <c r="A796" s="154"/>
      <c r="B796" s="126"/>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c r="AD796" s="122"/>
    </row>
    <row r="797">
      <c r="A797" s="154"/>
      <c r="B797" s="126"/>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c r="AD797" s="122"/>
    </row>
    <row r="798">
      <c r="A798" s="154"/>
      <c r="B798" s="126"/>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c r="AD798" s="122"/>
    </row>
    <row r="799">
      <c r="A799" s="154"/>
      <c r="B799" s="126"/>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c r="AD799" s="122"/>
    </row>
    <row r="800">
      <c r="A800" s="154"/>
      <c r="B800" s="126"/>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c r="AD800" s="122"/>
    </row>
    <row r="801">
      <c r="A801" s="154"/>
      <c r="B801" s="126"/>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c r="AD801" s="122"/>
    </row>
    <row r="802">
      <c r="A802" s="154"/>
      <c r="B802" s="126"/>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c r="AD802" s="122"/>
    </row>
    <row r="803">
      <c r="A803" s="154"/>
      <c r="B803" s="126"/>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c r="AD803" s="122"/>
    </row>
    <row r="804">
      <c r="A804" s="154"/>
      <c r="B804" s="126"/>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c r="AD804" s="122"/>
    </row>
    <row r="805">
      <c r="A805" s="154"/>
      <c r="B805" s="126"/>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c r="AD805" s="122"/>
    </row>
    <row r="806">
      <c r="A806" s="154"/>
      <c r="B806" s="126"/>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c r="AD806" s="122"/>
    </row>
    <row r="807">
      <c r="A807" s="154"/>
      <c r="B807" s="126"/>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c r="AD807" s="122"/>
    </row>
    <row r="808">
      <c r="A808" s="154"/>
      <c r="B808" s="126"/>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c r="AD808" s="122"/>
    </row>
    <row r="809">
      <c r="A809" s="154"/>
      <c r="B809" s="126"/>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c r="AD809" s="122"/>
    </row>
    <row r="810">
      <c r="A810" s="154"/>
      <c r="B810" s="126"/>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c r="AD810" s="122"/>
    </row>
    <row r="811">
      <c r="A811" s="154"/>
      <c r="B811" s="126"/>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c r="AD811" s="122"/>
    </row>
    <row r="812">
      <c r="A812" s="154"/>
      <c r="B812" s="126"/>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c r="AD812" s="122"/>
    </row>
    <row r="813">
      <c r="A813" s="154"/>
      <c r="B813" s="126"/>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c r="AD813" s="122"/>
    </row>
    <row r="814">
      <c r="A814" s="154"/>
      <c r="B814" s="126"/>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c r="AD814" s="122"/>
    </row>
    <row r="815">
      <c r="A815" s="154"/>
      <c r="B815" s="126"/>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c r="AD815" s="122"/>
    </row>
    <row r="816">
      <c r="A816" s="154"/>
      <c r="B816" s="126"/>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c r="AD816" s="122"/>
    </row>
    <row r="817">
      <c r="A817" s="154"/>
      <c r="B817" s="126"/>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c r="AD817" s="122"/>
    </row>
    <row r="818">
      <c r="A818" s="154"/>
      <c r="B818" s="126"/>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c r="AD818" s="122"/>
    </row>
    <row r="819">
      <c r="A819" s="154"/>
      <c r="B819" s="126"/>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c r="AD819" s="122"/>
    </row>
    <row r="820">
      <c r="A820" s="154"/>
      <c r="B820" s="126"/>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c r="AD820" s="122"/>
    </row>
    <row r="821">
      <c r="A821" s="154"/>
      <c r="B821" s="126"/>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c r="AD821" s="122"/>
    </row>
    <row r="822">
      <c r="A822" s="154"/>
      <c r="B822" s="126"/>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c r="AD822" s="122"/>
    </row>
    <row r="823">
      <c r="A823" s="154"/>
      <c r="B823" s="126"/>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c r="AD823" s="122"/>
    </row>
    <row r="824">
      <c r="A824" s="154"/>
      <c r="B824" s="126"/>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c r="AD824" s="122"/>
    </row>
    <row r="825">
      <c r="A825" s="154"/>
      <c r="B825" s="126"/>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c r="AD825" s="122"/>
    </row>
    <row r="826">
      <c r="A826" s="154"/>
      <c r="B826" s="126"/>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c r="AD826" s="122"/>
    </row>
    <row r="827">
      <c r="A827" s="154"/>
      <c r="B827" s="126"/>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c r="AD827" s="122"/>
    </row>
    <row r="828">
      <c r="A828" s="154"/>
      <c r="B828" s="126"/>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c r="AD828" s="122"/>
    </row>
    <row r="829">
      <c r="A829" s="154"/>
      <c r="B829" s="126"/>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c r="AD829" s="122"/>
    </row>
    <row r="830">
      <c r="A830" s="154"/>
      <c r="B830" s="126"/>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c r="AD830" s="122"/>
    </row>
    <row r="831">
      <c r="A831" s="154"/>
      <c r="B831" s="126"/>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c r="AD831" s="122"/>
    </row>
    <row r="832">
      <c r="A832" s="154"/>
      <c r="B832" s="126"/>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c r="AD832" s="122"/>
    </row>
    <row r="833">
      <c r="A833" s="154"/>
      <c r="B833" s="126"/>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c r="AD833" s="122"/>
    </row>
    <row r="834">
      <c r="A834" s="154"/>
      <c r="B834" s="126"/>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c r="AD834" s="122"/>
    </row>
    <row r="835">
      <c r="A835" s="154"/>
      <c r="B835" s="126"/>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c r="AD835" s="122"/>
    </row>
    <row r="836">
      <c r="A836" s="154"/>
      <c r="B836" s="126"/>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c r="AD836" s="122"/>
    </row>
    <row r="837">
      <c r="A837" s="154"/>
      <c r="B837" s="126"/>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c r="AD837" s="122"/>
    </row>
    <row r="838">
      <c r="A838" s="154"/>
      <c r="B838" s="126"/>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c r="AD838" s="122"/>
    </row>
    <row r="839">
      <c r="A839" s="154"/>
      <c r="B839" s="126"/>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c r="AD839" s="122"/>
    </row>
    <row r="840">
      <c r="A840" s="154"/>
      <c r="B840" s="126"/>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c r="AD840" s="122"/>
    </row>
    <row r="841">
      <c r="A841" s="154"/>
      <c r="B841" s="126"/>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c r="AD841" s="122"/>
    </row>
    <row r="842">
      <c r="A842" s="154"/>
      <c r="B842" s="126"/>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c r="AD842" s="122"/>
    </row>
    <row r="843">
      <c r="A843" s="154"/>
      <c r="B843" s="126"/>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c r="AD843" s="122"/>
    </row>
    <row r="844">
      <c r="A844" s="154"/>
      <c r="B844" s="126"/>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c r="AD844" s="122"/>
    </row>
    <row r="845">
      <c r="A845" s="154"/>
      <c r="B845" s="126"/>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c r="AD845" s="122"/>
    </row>
    <row r="846">
      <c r="A846" s="154"/>
      <c r="B846" s="126"/>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c r="AD846" s="122"/>
    </row>
    <row r="847">
      <c r="A847" s="154"/>
      <c r="B847" s="126"/>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c r="AD847" s="122"/>
    </row>
    <row r="848">
      <c r="A848" s="154"/>
      <c r="B848" s="126"/>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c r="AD848" s="122"/>
    </row>
    <row r="849">
      <c r="A849" s="154"/>
      <c r="B849" s="126"/>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c r="AD849" s="122"/>
    </row>
    <row r="850">
      <c r="A850" s="154"/>
      <c r="B850" s="126"/>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c r="AD850" s="122"/>
    </row>
    <row r="851">
      <c r="A851" s="154"/>
      <c r="B851" s="126"/>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c r="AD851" s="122"/>
    </row>
    <row r="852">
      <c r="A852" s="154"/>
      <c r="B852" s="126"/>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c r="AD852" s="122"/>
    </row>
    <row r="853">
      <c r="A853" s="154"/>
      <c r="B853" s="126"/>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c r="AD853" s="122"/>
    </row>
    <row r="854">
      <c r="A854" s="154"/>
      <c r="B854" s="126"/>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c r="AD854" s="122"/>
    </row>
    <row r="855">
      <c r="A855" s="154"/>
      <c r="B855" s="126"/>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c r="AD855" s="122"/>
    </row>
    <row r="856">
      <c r="A856" s="154"/>
      <c r="B856" s="126"/>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c r="AD856" s="122"/>
    </row>
    <row r="857">
      <c r="A857" s="154"/>
      <c r="B857" s="126"/>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c r="AD857" s="122"/>
    </row>
    <row r="858">
      <c r="A858" s="154"/>
      <c r="B858" s="126"/>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c r="AD858" s="122"/>
    </row>
    <row r="859">
      <c r="A859" s="154"/>
      <c r="B859" s="126"/>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c r="AD859" s="122"/>
    </row>
    <row r="860">
      <c r="A860" s="154"/>
      <c r="B860" s="126"/>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c r="AD860" s="122"/>
    </row>
    <row r="861">
      <c r="A861" s="154"/>
      <c r="B861" s="126"/>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c r="AD861" s="122"/>
    </row>
    <row r="862">
      <c r="A862" s="154"/>
      <c r="B862" s="126"/>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c r="AD862" s="122"/>
    </row>
    <row r="863">
      <c r="A863" s="154"/>
      <c r="B863" s="126"/>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c r="AD863" s="122"/>
    </row>
    <row r="864">
      <c r="A864" s="154"/>
      <c r="B864" s="126"/>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c r="AD864" s="122"/>
    </row>
    <row r="865">
      <c r="A865" s="154"/>
      <c r="B865" s="126"/>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c r="AD865" s="122"/>
    </row>
    <row r="866">
      <c r="A866" s="154"/>
      <c r="B866" s="126"/>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c r="AD866" s="122"/>
    </row>
    <row r="867">
      <c r="A867" s="154"/>
      <c r="B867" s="126"/>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c r="AD867" s="122"/>
    </row>
    <row r="868">
      <c r="A868" s="154"/>
      <c r="B868" s="126"/>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c r="AD868" s="122"/>
    </row>
    <row r="869">
      <c r="A869" s="154"/>
      <c r="B869" s="126"/>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c r="AD869" s="122"/>
    </row>
    <row r="870">
      <c r="A870" s="154"/>
      <c r="B870" s="126"/>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c r="AD870" s="122"/>
    </row>
    <row r="871">
      <c r="A871" s="154"/>
      <c r="B871" s="126"/>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c r="AD871" s="122"/>
    </row>
    <row r="872">
      <c r="A872" s="154"/>
      <c r="B872" s="126"/>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c r="AD872" s="122"/>
    </row>
    <row r="873">
      <c r="A873" s="154"/>
      <c r="B873" s="126"/>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c r="AD873" s="122"/>
    </row>
    <row r="874">
      <c r="A874" s="154"/>
      <c r="B874" s="126"/>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c r="AD874" s="122"/>
    </row>
    <row r="875">
      <c r="A875" s="154"/>
      <c r="B875" s="126"/>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c r="AD875" s="122"/>
    </row>
    <row r="876">
      <c r="A876" s="154"/>
      <c r="B876" s="126"/>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c r="AD876" s="122"/>
    </row>
    <row r="877">
      <c r="A877" s="154"/>
      <c r="B877" s="126"/>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c r="AD877" s="122"/>
    </row>
    <row r="878">
      <c r="A878" s="154"/>
      <c r="B878" s="126"/>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c r="AD878" s="122"/>
    </row>
    <row r="879">
      <c r="A879" s="154"/>
      <c r="B879" s="126"/>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c r="AD879" s="122"/>
    </row>
    <row r="880">
      <c r="A880" s="154"/>
      <c r="B880" s="126"/>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c r="AD880" s="122"/>
    </row>
    <row r="881">
      <c r="A881" s="154"/>
      <c r="B881" s="126"/>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c r="AD881" s="122"/>
    </row>
    <row r="882">
      <c r="A882" s="154"/>
      <c r="B882" s="126"/>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c r="AD882" s="122"/>
    </row>
    <row r="883">
      <c r="A883" s="154"/>
      <c r="B883" s="126"/>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c r="AD883" s="122"/>
    </row>
    <row r="884">
      <c r="A884" s="154"/>
      <c r="B884" s="126"/>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c r="AD884" s="122"/>
    </row>
    <row r="885">
      <c r="A885" s="154"/>
      <c r="B885" s="126"/>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c r="AD885" s="122"/>
    </row>
    <row r="886">
      <c r="A886" s="154"/>
      <c r="B886" s="126"/>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c r="AD886" s="122"/>
    </row>
    <row r="887">
      <c r="A887" s="154"/>
      <c r="B887" s="126"/>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c r="AD887" s="122"/>
    </row>
    <row r="888">
      <c r="A888" s="154"/>
      <c r="B888" s="126"/>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c r="AD888" s="122"/>
    </row>
    <row r="889">
      <c r="A889" s="154"/>
      <c r="B889" s="126"/>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c r="AD889" s="122"/>
    </row>
    <row r="890">
      <c r="A890" s="154"/>
      <c r="B890" s="126"/>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c r="AD890" s="122"/>
    </row>
    <row r="891">
      <c r="A891" s="154"/>
      <c r="B891" s="126"/>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c r="AD891" s="122"/>
    </row>
    <row r="892">
      <c r="A892" s="154"/>
      <c r="B892" s="126"/>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c r="AD892" s="122"/>
    </row>
    <row r="893">
      <c r="A893" s="154"/>
      <c r="B893" s="126"/>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c r="AD893" s="122"/>
    </row>
    <row r="894">
      <c r="A894" s="154"/>
      <c r="B894" s="126"/>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c r="AD894" s="122"/>
    </row>
    <row r="895">
      <c r="A895" s="154"/>
      <c r="B895" s="126"/>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c r="AD895" s="122"/>
    </row>
    <row r="896">
      <c r="A896" s="154"/>
      <c r="B896" s="126"/>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c r="AD896" s="122"/>
    </row>
    <row r="897">
      <c r="A897" s="154"/>
      <c r="B897" s="126"/>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c r="AD897" s="122"/>
    </row>
    <row r="898">
      <c r="A898" s="154"/>
      <c r="B898" s="126"/>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c r="AD898" s="122"/>
    </row>
    <row r="899">
      <c r="A899" s="154"/>
      <c r="B899" s="126"/>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c r="AD899" s="122"/>
    </row>
    <row r="900">
      <c r="A900" s="154"/>
      <c r="B900" s="126"/>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c r="AD900" s="122"/>
    </row>
    <row r="901">
      <c r="A901" s="154"/>
      <c r="B901" s="126"/>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c r="AD901" s="122"/>
    </row>
    <row r="902">
      <c r="A902" s="154"/>
      <c r="B902" s="126"/>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c r="AD902" s="122"/>
    </row>
    <row r="903">
      <c r="A903" s="154"/>
      <c r="B903" s="126"/>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c r="AD903" s="122"/>
    </row>
    <row r="904">
      <c r="A904" s="154"/>
      <c r="B904" s="126"/>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c r="AD904" s="122"/>
    </row>
    <row r="905">
      <c r="A905" s="154"/>
      <c r="B905" s="126"/>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c r="AD905" s="122"/>
    </row>
    <row r="906">
      <c r="A906" s="154"/>
      <c r="B906" s="126"/>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c r="AD906" s="122"/>
    </row>
    <row r="907">
      <c r="A907" s="154"/>
      <c r="B907" s="126"/>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c r="AD907" s="122"/>
    </row>
    <row r="908">
      <c r="A908" s="154"/>
      <c r="B908" s="126"/>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c r="AD908" s="122"/>
    </row>
    <row r="909">
      <c r="A909" s="154"/>
      <c r="B909" s="126"/>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c r="AD909" s="122"/>
    </row>
    <row r="910">
      <c r="A910" s="154"/>
      <c r="B910" s="126"/>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row>
    <row r="911">
      <c r="A911" s="154"/>
      <c r="B911" s="126"/>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row>
    <row r="912">
      <c r="A912" s="154"/>
      <c r="B912" s="126"/>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c r="AD912" s="122"/>
    </row>
    <row r="913">
      <c r="A913" s="154"/>
      <c r="B913" s="126"/>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c r="AD913" s="122"/>
    </row>
    <row r="914">
      <c r="A914" s="154"/>
      <c r="B914" s="126"/>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c r="AD914" s="122"/>
    </row>
    <row r="915">
      <c r="A915" s="154"/>
      <c r="B915" s="126"/>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c r="AD915" s="122"/>
    </row>
    <row r="916">
      <c r="A916" s="154"/>
      <c r="B916" s="126"/>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c r="AD916" s="122"/>
    </row>
    <row r="917">
      <c r="A917" s="154"/>
      <c r="B917" s="126"/>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c r="AD917" s="122"/>
    </row>
    <row r="918">
      <c r="A918" s="154"/>
      <c r="B918" s="126"/>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c r="AD918" s="122"/>
    </row>
    <row r="919">
      <c r="A919" s="154"/>
      <c r="B919" s="126"/>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c r="AD919" s="122"/>
    </row>
    <row r="920">
      <c r="A920" s="154"/>
      <c r="B920" s="126"/>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c r="AD920" s="122"/>
    </row>
    <row r="921">
      <c r="A921" s="154"/>
      <c r="B921" s="126"/>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c r="AD921" s="122"/>
    </row>
    <row r="922">
      <c r="A922" s="154"/>
      <c r="B922" s="126"/>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c r="AD922" s="122"/>
    </row>
    <row r="923">
      <c r="A923" s="154"/>
      <c r="B923" s="126"/>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c r="AD923" s="122"/>
    </row>
    <row r="924">
      <c r="A924" s="154"/>
      <c r="B924" s="126"/>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c r="AD924" s="122"/>
    </row>
    <row r="925">
      <c r="A925" s="154"/>
      <c r="B925" s="126"/>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c r="AD925" s="122"/>
    </row>
    <row r="926">
      <c r="A926" s="154"/>
      <c r="B926" s="126"/>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c r="AD926" s="122"/>
    </row>
    <row r="927">
      <c r="A927" s="154"/>
      <c r="B927" s="126"/>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c r="AD927" s="122"/>
    </row>
    <row r="928">
      <c r="A928" s="154"/>
      <c r="B928" s="126"/>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c r="AD928" s="122"/>
    </row>
    <row r="929">
      <c r="A929" s="154"/>
      <c r="B929" s="126"/>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c r="AD929" s="122"/>
    </row>
    <row r="930">
      <c r="A930" s="154"/>
      <c r="B930" s="126"/>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c r="AD930" s="122"/>
    </row>
    <row r="931">
      <c r="A931" s="154"/>
      <c r="B931" s="126"/>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c r="AD931" s="122"/>
    </row>
    <row r="932">
      <c r="A932" s="154"/>
      <c r="B932" s="126"/>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c r="AD932" s="122"/>
    </row>
    <row r="933">
      <c r="A933" s="154"/>
      <c r="B933" s="126"/>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c r="AD933" s="122"/>
    </row>
    <row r="934">
      <c r="A934" s="154"/>
      <c r="B934" s="126"/>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c r="AD934" s="122"/>
    </row>
    <row r="935">
      <c r="A935" s="154"/>
      <c r="B935" s="126"/>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c r="AD935" s="122"/>
    </row>
    <row r="936">
      <c r="A936" s="154"/>
      <c r="B936" s="126"/>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c r="AD936" s="122"/>
    </row>
    <row r="937">
      <c r="A937" s="154"/>
      <c r="B937" s="126"/>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c r="AD937" s="122"/>
    </row>
    <row r="938">
      <c r="A938" s="154"/>
      <c r="B938" s="126"/>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c r="AD938" s="122"/>
    </row>
    <row r="939">
      <c r="A939" s="154"/>
      <c r="B939" s="126"/>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c r="AD939" s="122"/>
    </row>
    <row r="940">
      <c r="A940" s="154"/>
      <c r="B940" s="126"/>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c r="AD940" s="122"/>
    </row>
    <row r="941">
      <c r="A941" s="154"/>
      <c r="B941" s="126"/>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c r="AD941" s="122"/>
    </row>
    <row r="942">
      <c r="A942" s="154"/>
      <c r="B942" s="126"/>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c r="AD942" s="122"/>
    </row>
    <row r="943">
      <c r="A943" s="154"/>
      <c r="B943" s="126"/>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c r="AD943" s="122"/>
    </row>
    <row r="944">
      <c r="A944" s="154"/>
      <c r="B944" s="126"/>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c r="AD944" s="122"/>
    </row>
    <row r="945">
      <c r="A945" s="154"/>
      <c r="B945" s="126"/>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c r="AD945" s="122"/>
    </row>
    <row r="946">
      <c r="A946" s="154"/>
      <c r="B946" s="126"/>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c r="AD946" s="122"/>
    </row>
    <row r="947">
      <c r="A947" s="154"/>
      <c r="B947" s="126"/>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c r="AD947" s="122"/>
    </row>
    <row r="948">
      <c r="A948" s="154"/>
      <c r="B948" s="126"/>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c r="AD948" s="122"/>
    </row>
    <row r="949">
      <c r="A949" s="154"/>
      <c r="B949" s="126"/>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c r="AD949" s="122"/>
    </row>
    <row r="950">
      <c r="A950" s="154"/>
      <c r="B950" s="126"/>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c r="AD950" s="122"/>
    </row>
    <row r="951">
      <c r="A951" s="154"/>
      <c r="B951" s="126"/>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c r="AD951" s="122"/>
    </row>
    <row r="952">
      <c r="A952" s="154"/>
      <c r="B952" s="126"/>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c r="AD952" s="122"/>
    </row>
    <row r="953">
      <c r="A953" s="154"/>
      <c r="B953" s="126"/>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c r="AD953" s="122"/>
    </row>
    <row r="954">
      <c r="A954" s="154"/>
      <c r="B954" s="126"/>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c r="AD954" s="122"/>
    </row>
    <row r="955">
      <c r="A955" s="154"/>
      <c r="B955" s="126"/>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c r="AD955" s="122"/>
    </row>
    <row r="956">
      <c r="A956" s="154"/>
      <c r="B956" s="126"/>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c r="AD956" s="122"/>
    </row>
    <row r="957">
      <c r="A957" s="154"/>
      <c r="B957" s="126"/>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c r="AD957" s="122"/>
    </row>
    <row r="958">
      <c r="A958" s="154"/>
      <c r="B958" s="126"/>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c r="AD958" s="122"/>
    </row>
    <row r="959">
      <c r="A959" s="154"/>
      <c r="B959" s="126"/>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c r="AD959" s="122"/>
    </row>
    <row r="960">
      <c r="A960" s="154"/>
      <c r="B960" s="126"/>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c r="AD960" s="122"/>
    </row>
    <row r="961">
      <c r="A961" s="154"/>
      <c r="B961" s="126"/>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c r="AD961" s="122"/>
    </row>
    <row r="962">
      <c r="A962" s="154"/>
      <c r="B962" s="126"/>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2"/>
      <c r="AD962" s="122"/>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0"/>
    <col customWidth="1" min="2" max="2" width="31.88"/>
    <col customWidth="1" min="3" max="20" width="7.63"/>
    <col customWidth="1" min="21" max="21" width="8.88"/>
    <col customWidth="1" min="22" max="26" width="7.63"/>
    <col customWidth="1" min="27" max="27" width="15.88"/>
    <col customWidth="1" min="28" max="28" width="7.63"/>
  </cols>
  <sheetData>
    <row r="1">
      <c r="A1" s="154"/>
      <c r="B1" s="161" t="s">
        <v>58</v>
      </c>
      <c r="C1" s="30" t="s">
        <v>5</v>
      </c>
      <c r="D1" s="31"/>
      <c r="E1" s="31"/>
      <c r="F1" s="30"/>
      <c r="G1" s="30"/>
      <c r="H1" s="30"/>
      <c r="I1" s="30"/>
      <c r="J1" s="31"/>
      <c r="K1" s="31"/>
      <c r="L1" s="31"/>
      <c r="M1" s="30" t="s">
        <v>6</v>
      </c>
      <c r="N1" s="33"/>
      <c r="O1" s="33"/>
      <c r="P1" s="33"/>
      <c r="Q1" s="31"/>
      <c r="R1" s="30" t="s">
        <v>7</v>
      </c>
      <c r="S1" s="31"/>
      <c r="T1" s="30"/>
      <c r="U1" s="31"/>
      <c r="V1" s="31"/>
      <c r="W1" s="30" t="s">
        <v>8</v>
      </c>
      <c r="X1" s="31"/>
      <c r="Y1" s="31"/>
      <c r="Z1" s="112" t="s">
        <v>59</v>
      </c>
      <c r="AA1" s="113"/>
      <c r="AB1" s="113"/>
      <c r="AC1" s="113"/>
    </row>
    <row r="2">
      <c r="A2" s="154"/>
      <c r="B2" s="24" t="s">
        <v>30</v>
      </c>
      <c r="C2" s="17" t="s">
        <v>11</v>
      </c>
      <c r="D2" s="17" t="s">
        <v>12</v>
      </c>
      <c r="E2" s="24" t="s">
        <v>13</v>
      </c>
      <c r="F2" s="24" t="s">
        <v>14</v>
      </c>
      <c r="G2" s="24" t="s">
        <v>15</v>
      </c>
      <c r="H2" s="24" t="s">
        <v>60</v>
      </c>
      <c r="I2" s="24" t="s">
        <v>17</v>
      </c>
      <c r="J2" s="17" t="s">
        <v>18</v>
      </c>
      <c r="K2" s="24" t="s">
        <v>19</v>
      </c>
      <c r="L2" s="24" t="s">
        <v>61</v>
      </c>
      <c r="M2" s="24" t="s">
        <v>62</v>
      </c>
      <c r="N2" s="24" t="s">
        <v>63</v>
      </c>
      <c r="O2" s="24" t="s">
        <v>64</v>
      </c>
      <c r="P2" s="24" t="s">
        <v>65</v>
      </c>
      <c r="Q2" s="24" t="s">
        <v>66</v>
      </c>
      <c r="R2" s="24" t="s">
        <v>68</v>
      </c>
      <c r="S2" s="24" t="s">
        <v>27</v>
      </c>
      <c r="T2" s="17" t="s">
        <v>28</v>
      </c>
      <c r="U2" s="24" t="s">
        <v>299</v>
      </c>
      <c r="V2" s="24" t="s">
        <v>69</v>
      </c>
      <c r="W2" s="24" t="s">
        <v>29</v>
      </c>
      <c r="X2" s="24" t="s">
        <v>19</v>
      </c>
      <c r="Y2" s="24" t="s">
        <v>8</v>
      </c>
      <c r="Z2" s="162" t="s">
        <v>30</v>
      </c>
      <c r="AA2" s="113"/>
      <c r="AB2" s="113"/>
      <c r="AC2" s="113"/>
    </row>
    <row r="3">
      <c r="A3" s="163">
        <v>44213.0</v>
      </c>
      <c r="B3" s="125" t="s">
        <v>216</v>
      </c>
      <c r="C3" s="164"/>
      <c r="D3" s="165"/>
      <c r="E3" s="164"/>
      <c r="F3" s="164"/>
      <c r="G3" s="164"/>
      <c r="H3" s="164"/>
      <c r="I3" s="164"/>
      <c r="J3" s="164"/>
      <c r="K3" s="164"/>
      <c r="L3" s="164"/>
      <c r="M3" s="145" t="s">
        <v>72</v>
      </c>
      <c r="N3" s="164"/>
      <c r="O3" s="165"/>
      <c r="P3" s="164"/>
      <c r="Q3" s="145">
        <v>980.0</v>
      </c>
      <c r="R3" s="164"/>
      <c r="S3" s="164"/>
      <c r="T3" s="145">
        <v>980.0</v>
      </c>
      <c r="U3" s="164"/>
      <c r="V3" s="164"/>
      <c r="W3" s="164"/>
      <c r="X3" s="164"/>
      <c r="Y3" s="164"/>
      <c r="Z3" s="120">
        <f t="shared" ref="Z3:Z77" si="1">sum(C3:L3,N3:Q3)-sum(R3:Y3)</f>
        <v>0</v>
      </c>
      <c r="AA3" s="121"/>
    </row>
    <row r="4">
      <c r="A4" s="163">
        <v>44227.0</v>
      </c>
      <c r="B4" s="125" t="s">
        <v>300</v>
      </c>
      <c r="C4" s="126"/>
      <c r="D4" s="126"/>
      <c r="E4" s="126"/>
      <c r="F4" s="126"/>
      <c r="G4" s="126"/>
      <c r="H4" s="126"/>
      <c r="I4" s="126"/>
      <c r="J4" s="125"/>
      <c r="K4" s="126"/>
      <c r="L4" s="126"/>
      <c r="M4" s="145" t="s">
        <v>72</v>
      </c>
      <c r="N4" s="126"/>
      <c r="O4" s="126"/>
      <c r="P4" s="126"/>
      <c r="Q4" s="125">
        <v>400.0</v>
      </c>
      <c r="R4" s="126"/>
      <c r="S4" s="126"/>
      <c r="T4" s="125">
        <v>400.0</v>
      </c>
      <c r="U4" s="126"/>
      <c r="V4" s="126"/>
      <c r="W4" s="126"/>
      <c r="X4" s="126"/>
      <c r="Y4" s="126"/>
      <c r="Z4" s="120">
        <f t="shared" si="1"/>
        <v>0</v>
      </c>
      <c r="AA4" s="122"/>
      <c r="AB4" s="122"/>
      <c r="AC4" s="122"/>
    </row>
    <row r="5">
      <c r="A5" s="163">
        <v>44228.0</v>
      </c>
      <c r="B5" s="125" t="s">
        <v>301</v>
      </c>
      <c r="C5" s="164"/>
      <c r="D5" s="165"/>
      <c r="E5" s="145"/>
      <c r="F5" s="164"/>
      <c r="G5" s="164"/>
      <c r="H5" s="164"/>
      <c r="I5" s="164"/>
      <c r="J5" s="165"/>
      <c r="K5" s="164"/>
      <c r="L5" s="164"/>
      <c r="M5" s="145" t="s">
        <v>72</v>
      </c>
      <c r="N5" s="145">
        <v>759.0</v>
      </c>
      <c r="O5" s="164"/>
      <c r="P5" s="164"/>
      <c r="Q5" s="164"/>
      <c r="R5" s="164"/>
      <c r="S5" s="165"/>
      <c r="T5" s="145">
        <v>759.0</v>
      </c>
      <c r="U5" s="164"/>
      <c r="V5" s="164"/>
      <c r="W5" s="164"/>
      <c r="X5" s="164"/>
      <c r="Y5" s="164"/>
      <c r="Z5" s="120">
        <f t="shared" si="1"/>
        <v>0</v>
      </c>
    </row>
    <row r="6">
      <c r="A6" s="163">
        <v>44228.0</v>
      </c>
      <c r="B6" s="125" t="s">
        <v>288</v>
      </c>
      <c r="C6" s="164"/>
      <c r="D6" s="165"/>
      <c r="E6" s="145"/>
      <c r="F6" s="164"/>
      <c r="G6" s="164"/>
      <c r="H6" s="164"/>
      <c r="I6" s="164"/>
      <c r="J6" s="164"/>
      <c r="K6" s="164"/>
      <c r="L6" s="164"/>
      <c r="M6" s="145" t="s">
        <v>72</v>
      </c>
      <c r="N6" s="145">
        <v>1940.0</v>
      </c>
      <c r="O6" s="164"/>
      <c r="P6" s="164"/>
      <c r="Q6" s="164"/>
      <c r="R6" s="164"/>
      <c r="S6" s="164"/>
      <c r="T6" s="145">
        <v>1940.0</v>
      </c>
      <c r="U6" s="164"/>
      <c r="V6" s="164"/>
      <c r="W6" s="164"/>
      <c r="X6" s="164"/>
      <c r="Y6" s="164"/>
      <c r="Z6" s="120">
        <f t="shared" si="1"/>
        <v>0</v>
      </c>
    </row>
    <row r="7">
      <c r="A7" s="153">
        <v>44228.0</v>
      </c>
      <c r="B7" s="125" t="s">
        <v>302</v>
      </c>
      <c r="C7" s="125">
        <v>-1500.0</v>
      </c>
      <c r="D7" s="126"/>
      <c r="E7" s="126"/>
      <c r="F7" s="126"/>
      <c r="G7" s="126"/>
      <c r="H7" s="126"/>
      <c r="I7" s="126"/>
      <c r="J7" s="126"/>
      <c r="K7" s="126"/>
      <c r="L7" s="126"/>
      <c r="M7" s="125" t="s">
        <v>81</v>
      </c>
      <c r="N7" s="126"/>
      <c r="O7" s="126"/>
      <c r="P7" s="126"/>
      <c r="Q7" s="125">
        <v>1500.0</v>
      </c>
      <c r="R7" s="126"/>
      <c r="S7" s="126"/>
      <c r="T7" s="126"/>
      <c r="U7" s="126"/>
      <c r="V7" s="126"/>
      <c r="W7" s="126"/>
      <c r="X7" s="126"/>
      <c r="Y7" s="126"/>
      <c r="Z7" s="120">
        <f t="shared" si="1"/>
        <v>0</v>
      </c>
      <c r="AA7" s="122"/>
      <c r="AB7" s="122"/>
      <c r="AC7" s="122"/>
    </row>
    <row r="8">
      <c r="A8" s="163">
        <v>44229.0</v>
      </c>
      <c r="B8" s="125" t="s">
        <v>74</v>
      </c>
      <c r="C8" s="164"/>
      <c r="D8" s="164"/>
      <c r="E8" s="164"/>
      <c r="F8" s="164"/>
      <c r="G8" s="164"/>
      <c r="H8" s="164"/>
      <c r="I8" s="164"/>
      <c r="J8" s="164"/>
      <c r="K8" s="164"/>
      <c r="L8" s="164"/>
      <c r="M8" s="145" t="s">
        <v>72</v>
      </c>
      <c r="N8" s="145">
        <v>9984.0</v>
      </c>
      <c r="O8" s="164"/>
      <c r="P8" s="164"/>
      <c r="Q8" s="164"/>
      <c r="R8" s="165"/>
      <c r="S8" s="164"/>
      <c r="T8" s="145">
        <v>9984.0</v>
      </c>
      <c r="U8" s="164"/>
      <c r="V8" s="164"/>
      <c r="W8" s="164"/>
      <c r="X8" s="164"/>
      <c r="Y8" s="164"/>
      <c r="Z8" s="120">
        <f t="shared" si="1"/>
        <v>0</v>
      </c>
      <c r="AA8" s="121"/>
      <c r="AB8" s="122"/>
      <c r="AC8" s="122"/>
    </row>
    <row r="9">
      <c r="A9" s="163">
        <v>44232.0</v>
      </c>
      <c r="B9" s="125" t="s">
        <v>74</v>
      </c>
      <c r="C9" s="164"/>
      <c r="D9" s="164"/>
      <c r="E9" s="164"/>
      <c r="F9" s="164"/>
      <c r="G9" s="164"/>
      <c r="H9" s="164"/>
      <c r="I9" s="164"/>
      <c r="J9" s="164"/>
      <c r="K9" s="164"/>
      <c r="L9" s="164"/>
      <c r="M9" s="145" t="s">
        <v>72</v>
      </c>
      <c r="N9" s="145">
        <v>7625.0</v>
      </c>
      <c r="O9" s="164"/>
      <c r="P9" s="164"/>
      <c r="Q9" s="164"/>
      <c r="R9" s="164"/>
      <c r="S9" s="164"/>
      <c r="T9" s="145">
        <v>7625.0</v>
      </c>
      <c r="U9" s="164"/>
      <c r="V9" s="164"/>
      <c r="W9" s="164"/>
      <c r="X9" s="164"/>
      <c r="Y9" s="164"/>
      <c r="Z9" s="120">
        <f t="shared" si="1"/>
        <v>0</v>
      </c>
      <c r="AA9" s="121"/>
      <c r="AB9" s="122"/>
      <c r="AC9" s="122"/>
    </row>
    <row r="10">
      <c r="A10" s="163">
        <v>44232.0</v>
      </c>
      <c r="B10" s="125" t="s">
        <v>303</v>
      </c>
      <c r="C10" s="164"/>
      <c r="D10" s="164"/>
      <c r="E10" s="164"/>
      <c r="F10" s="164"/>
      <c r="G10" s="164"/>
      <c r="H10" s="164"/>
      <c r="I10" s="164"/>
      <c r="J10" s="145">
        <v>16000.0</v>
      </c>
      <c r="K10" s="164"/>
      <c r="L10" s="164"/>
      <c r="M10" s="145"/>
      <c r="N10" s="164"/>
      <c r="O10" s="164"/>
      <c r="P10" s="164"/>
      <c r="Q10" s="164"/>
      <c r="R10" s="164"/>
      <c r="S10" s="164"/>
      <c r="T10" s="164"/>
      <c r="U10" s="145" t="s">
        <v>304</v>
      </c>
      <c r="V10" s="145">
        <v>16000.0</v>
      </c>
      <c r="W10" s="164"/>
      <c r="X10" s="164"/>
      <c r="Y10" s="164"/>
      <c r="Z10" s="120">
        <f t="shared" si="1"/>
        <v>0</v>
      </c>
      <c r="AA10" s="122"/>
      <c r="AB10" s="122"/>
      <c r="AC10" s="122"/>
    </row>
    <row r="11">
      <c r="A11" s="163">
        <v>44232.0</v>
      </c>
      <c r="B11" s="125" t="s">
        <v>305</v>
      </c>
      <c r="C11" s="126"/>
      <c r="D11" s="126"/>
      <c r="E11" s="126"/>
      <c r="F11" s="126"/>
      <c r="G11" s="126"/>
      <c r="H11" s="126"/>
      <c r="I11" s="126"/>
      <c r="J11" s="125">
        <v>1600.0</v>
      </c>
      <c r="K11" s="126"/>
      <c r="L11" s="126"/>
      <c r="M11" s="145"/>
      <c r="N11" s="126"/>
      <c r="O11" s="126"/>
      <c r="P11" s="126"/>
      <c r="Q11" s="126"/>
      <c r="R11" s="126"/>
      <c r="S11" s="126"/>
      <c r="T11" s="126"/>
      <c r="U11" s="126"/>
      <c r="V11" s="126"/>
      <c r="W11" s="126"/>
      <c r="X11" s="126"/>
      <c r="Y11" s="125">
        <v>1600.0</v>
      </c>
      <c r="Z11" s="120">
        <f t="shared" si="1"/>
        <v>0</v>
      </c>
      <c r="AA11" s="122"/>
      <c r="AB11" s="122"/>
      <c r="AC11" s="122"/>
    </row>
    <row r="12">
      <c r="A12" s="163">
        <v>44232.0</v>
      </c>
      <c r="B12" s="125" t="s">
        <v>306</v>
      </c>
      <c r="C12" s="125"/>
      <c r="D12" s="125">
        <v>-764.0</v>
      </c>
      <c r="E12" s="145"/>
      <c r="F12" s="126"/>
      <c r="G12" s="126"/>
      <c r="H12" s="126"/>
      <c r="I12" s="126"/>
      <c r="J12" s="126"/>
      <c r="K12" s="126"/>
      <c r="L12" s="126"/>
      <c r="M12" s="145" t="s">
        <v>72</v>
      </c>
      <c r="N12" s="126"/>
      <c r="O12" s="126"/>
      <c r="P12" s="126"/>
      <c r="Q12" s="125">
        <v>764.0</v>
      </c>
      <c r="R12" s="126"/>
      <c r="S12" s="126"/>
      <c r="T12" s="126"/>
      <c r="U12" s="126"/>
      <c r="V12" s="126"/>
      <c r="W12" s="126"/>
      <c r="X12" s="126"/>
      <c r="Y12" s="126"/>
      <c r="Z12" s="120">
        <f t="shared" si="1"/>
        <v>0</v>
      </c>
      <c r="AA12" s="122"/>
      <c r="AB12" s="122"/>
      <c r="AC12" s="122"/>
    </row>
    <row r="13">
      <c r="A13" s="163">
        <v>44233.0</v>
      </c>
      <c r="B13" s="125" t="s">
        <v>307</v>
      </c>
      <c r="C13" s="164"/>
      <c r="D13" s="165"/>
      <c r="E13" s="164"/>
      <c r="F13" s="164"/>
      <c r="G13" s="164"/>
      <c r="H13" s="145">
        <v>160.0</v>
      </c>
      <c r="I13" s="164"/>
      <c r="J13" s="164"/>
      <c r="K13" s="164"/>
      <c r="L13" s="164"/>
      <c r="M13" s="145"/>
      <c r="N13" s="164"/>
      <c r="O13" s="164"/>
      <c r="P13" s="164"/>
      <c r="Q13" s="164"/>
      <c r="R13" s="164"/>
      <c r="S13" s="164"/>
      <c r="T13" s="164"/>
      <c r="U13" s="164"/>
      <c r="V13" s="164"/>
      <c r="W13" s="164"/>
      <c r="X13" s="164"/>
      <c r="Y13" s="145">
        <v>160.0</v>
      </c>
      <c r="Z13" s="120">
        <f t="shared" si="1"/>
        <v>0</v>
      </c>
      <c r="AA13" s="122"/>
      <c r="AB13" s="122"/>
      <c r="AC13" s="122"/>
    </row>
    <row r="14">
      <c r="A14" s="163">
        <v>44233.0</v>
      </c>
      <c r="B14" s="125" t="s">
        <v>308</v>
      </c>
      <c r="C14" s="164"/>
      <c r="D14" s="164"/>
      <c r="E14" s="164"/>
      <c r="F14" s="164"/>
      <c r="G14" s="164"/>
      <c r="H14" s="164"/>
      <c r="I14" s="164"/>
      <c r="J14" s="145">
        <v>-1360.0</v>
      </c>
      <c r="K14" s="164"/>
      <c r="L14" s="164"/>
      <c r="M14" s="145"/>
      <c r="N14" s="164"/>
      <c r="O14" s="164"/>
      <c r="P14" s="164"/>
      <c r="Q14" s="164"/>
      <c r="R14" s="164"/>
      <c r="S14" s="164"/>
      <c r="T14" s="164"/>
      <c r="U14" s="145" t="s">
        <v>309</v>
      </c>
      <c r="V14" s="145">
        <v>-1360.0</v>
      </c>
      <c r="W14" s="164"/>
      <c r="X14" s="164"/>
      <c r="Y14" s="164"/>
      <c r="Z14" s="120">
        <f t="shared" si="1"/>
        <v>0</v>
      </c>
      <c r="AA14" s="122"/>
      <c r="AB14" s="122"/>
      <c r="AC14" s="122"/>
    </row>
    <row r="15">
      <c r="A15" s="153">
        <v>44233.0</v>
      </c>
      <c r="B15" s="125" t="s">
        <v>310</v>
      </c>
      <c r="C15" s="126"/>
      <c r="D15" s="125">
        <v>4000.0</v>
      </c>
      <c r="E15" s="126"/>
      <c r="F15" s="126"/>
      <c r="G15" s="126"/>
      <c r="H15" s="126"/>
      <c r="I15" s="126"/>
      <c r="J15" s="126"/>
      <c r="K15" s="126"/>
      <c r="L15" s="126"/>
      <c r="M15" s="126"/>
      <c r="N15" s="126"/>
      <c r="O15" s="126"/>
      <c r="P15" s="126"/>
      <c r="Q15" s="126"/>
      <c r="R15" s="126"/>
      <c r="S15" s="126"/>
      <c r="T15" s="126"/>
      <c r="U15" s="126"/>
      <c r="V15" s="126"/>
      <c r="W15" s="126"/>
      <c r="X15" s="126"/>
      <c r="Y15" s="125">
        <v>4000.0</v>
      </c>
      <c r="Z15" s="120">
        <f t="shared" si="1"/>
        <v>0</v>
      </c>
      <c r="AA15" s="122"/>
      <c r="AB15" s="122"/>
      <c r="AC15" s="122"/>
    </row>
    <row r="16">
      <c r="A16" s="163">
        <v>44234.0</v>
      </c>
      <c r="B16" s="125" t="s">
        <v>73</v>
      </c>
      <c r="C16" s="164"/>
      <c r="D16" s="165"/>
      <c r="E16" s="164"/>
      <c r="F16" s="164"/>
      <c r="G16" s="164"/>
      <c r="H16" s="164"/>
      <c r="I16" s="164"/>
      <c r="J16" s="164"/>
      <c r="K16" s="164"/>
      <c r="L16" s="164"/>
      <c r="M16" s="145" t="s">
        <v>72</v>
      </c>
      <c r="N16" s="145">
        <v>361.0</v>
      </c>
      <c r="O16" s="164"/>
      <c r="P16" s="164"/>
      <c r="Q16" s="164"/>
      <c r="R16" s="164"/>
      <c r="S16" s="164"/>
      <c r="T16" s="145">
        <v>361.0</v>
      </c>
      <c r="U16" s="164"/>
      <c r="V16" s="164"/>
      <c r="W16" s="164"/>
      <c r="X16" s="164"/>
      <c r="Y16" s="164"/>
      <c r="Z16" s="120">
        <f t="shared" si="1"/>
        <v>0</v>
      </c>
      <c r="AA16" s="121"/>
      <c r="AB16" s="122"/>
      <c r="AC16" s="122"/>
    </row>
    <row r="17">
      <c r="A17" s="153">
        <v>44234.0</v>
      </c>
      <c r="B17" s="125" t="s">
        <v>101</v>
      </c>
      <c r="C17" s="108"/>
      <c r="D17" s="125">
        <v>-444.0</v>
      </c>
      <c r="E17" s="126"/>
      <c r="F17" s="126"/>
      <c r="G17" s="126"/>
      <c r="H17" s="126"/>
      <c r="I17" s="126"/>
      <c r="J17" s="126"/>
      <c r="K17" s="126"/>
      <c r="L17" s="126"/>
      <c r="M17" s="125" t="s">
        <v>72</v>
      </c>
      <c r="N17" s="126"/>
      <c r="O17" s="126"/>
      <c r="P17" s="126"/>
      <c r="Q17" s="125">
        <v>444.0</v>
      </c>
      <c r="R17" s="126"/>
      <c r="S17" s="126"/>
      <c r="T17" s="126"/>
      <c r="U17" s="126"/>
      <c r="V17" s="126"/>
      <c r="W17" s="126"/>
      <c r="X17" s="126"/>
      <c r="Y17" s="126"/>
      <c r="Z17" s="120">
        <f t="shared" si="1"/>
        <v>0</v>
      </c>
      <c r="AA17" s="122"/>
      <c r="AB17" s="122"/>
      <c r="AC17" s="122"/>
    </row>
    <row r="18">
      <c r="A18" s="163">
        <v>44235.0</v>
      </c>
      <c r="B18" s="125" t="s">
        <v>311</v>
      </c>
      <c r="C18" s="165"/>
      <c r="D18" s="164"/>
      <c r="E18" s="145"/>
      <c r="F18" s="164"/>
      <c r="G18" s="164"/>
      <c r="H18" s="164"/>
      <c r="I18" s="164"/>
      <c r="J18" s="164"/>
      <c r="K18" s="164"/>
      <c r="L18" s="164"/>
      <c r="M18" s="145" t="s">
        <v>72</v>
      </c>
      <c r="N18" s="164"/>
      <c r="O18" s="164"/>
      <c r="P18" s="145">
        <v>307.0</v>
      </c>
      <c r="Q18" s="165"/>
      <c r="R18" s="164"/>
      <c r="S18" s="164"/>
      <c r="T18" s="145">
        <v>307.0</v>
      </c>
      <c r="U18" s="164"/>
      <c r="V18" s="164"/>
      <c r="W18" s="164"/>
      <c r="X18" s="164"/>
      <c r="Y18" s="164"/>
      <c r="Z18" s="120">
        <f t="shared" si="1"/>
        <v>0</v>
      </c>
    </row>
    <row r="19">
      <c r="A19" s="163">
        <v>44235.0</v>
      </c>
      <c r="B19" s="125" t="s">
        <v>311</v>
      </c>
      <c r="C19" s="165"/>
      <c r="D19" s="165"/>
      <c r="E19" s="145"/>
      <c r="F19" s="164"/>
      <c r="G19" s="164"/>
      <c r="H19" s="164"/>
      <c r="I19" s="164"/>
      <c r="J19" s="164"/>
      <c r="K19" s="164"/>
      <c r="L19" s="164"/>
      <c r="M19" s="145" t="s">
        <v>72</v>
      </c>
      <c r="N19" s="165"/>
      <c r="O19" s="164"/>
      <c r="P19" s="145">
        <v>1207.0</v>
      </c>
      <c r="Q19" s="164"/>
      <c r="R19" s="164"/>
      <c r="S19" s="164"/>
      <c r="T19" s="145">
        <v>1207.0</v>
      </c>
      <c r="U19" s="164"/>
      <c r="V19" s="164"/>
      <c r="W19" s="164"/>
      <c r="X19" s="164"/>
      <c r="Y19" s="164"/>
      <c r="Z19" s="120">
        <f t="shared" si="1"/>
        <v>0</v>
      </c>
    </row>
    <row r="20">
      <c r="A20" s="163">
        <v>44235.0</v>
      </c>
      <c r="B20" s="125" t="s">
        <v>93</v>
      </c>
      <c r="C20" s="164"/>
      <c r="D20" s="164"/>
      <c r="E20" s="164"/>
      <c r="F20" s="164"/>
      <c r="G20" s="164"/>
      <c r="H20" s="164"/>
      <c r="I20" s="164"/>
      <c r="J20" s="145">
        <v>-160.0</v>
      </c>
      <c r="K20" s="145">
        <v>160.0</v>
      </c>
      <c r="L20" s="164"/>
      <c r="M20" s="145"/>
      <c r="N20" s="165"/>
      <c r="O20" s="164"/>
      <c r="P20" s="164"/>
      <c r="Q20" s="164"/>
      <c r="R20" s="164"/>
      <c r="S20" s="164"/>
      <c r="T20" s="165"/>
      <c r="U20" s="164"/>
      <c r="V20" s="164"/>
      <c r="W20" s="164"/>
      <c r="X20" s="164"/>
      <c r="Y20" s="165"/>
      <c r="Z20" s="120">
        <f t="shared" si="1"/>
        <v>0</v>
      </c>
    </row>
    <row r="21">
      <c r="A21" s="163">
        <v>44236.0</v>
      </c>
      <c r="B21" s="125" t="s">
        <v>312</v>
      </c>
      <c r="C21" s="164"/>
      <c r="D21" s="164"/>
      <c r="E21" s="145"/>
      <c r="F21" s="164"/>
      <c r="G21" s="164"/>
      <c r="H21" s="164"/>
      <c r="I21" s="164"/>
      <c r="J21" s="164"/>
      <c r="K21" s="164"/>
      <c r="L21" s="164"/>
      <c r="M21" s="145" t="s">
        <v>72</v>
      </c>
      <c r="N21" s="165"/>
      <c r="O21" s="164"/>
      <c r="P21" s="145">
        <v>2998.0</v>
      </c>
      <c r="Q21" s="164"/>
      <c r="R21" s="164"/>
      <c r="S21" s="164"/>
      <c r="T21" s="145">
        <v>2998.0</v>
      </c>
      <c r="U21" s="164"/>
      <c r="V21" s="164"/>
      <c r="W21" s="164"/>
      <c r="X21" s="164"/>
      <c r="Y21" s="164"/>
      <c r="Z21" s="120">
        <f t="shared" si="1"/>
        <v>0</v>
      </c>
    </row>
    <row r="22">
      <c r="A22" s="163">
        <v>44236.0</v>
      </c>
      <c r="B22" s="125" t="s">
        <v>313</v>
      </c>
      <c r="C22" s="125"/>
      <c r="D22" s="125">
        <v>-1948.0</v>
      </c>
      <c r="E22" s="145"/>
      <c r="F22" s="126"/>
      <c r="G22" s="126"/>
      <c r="H22" s="126"/>
      <c r="I22" s="126"/>
      <c r="J22" s="126"/>
      <c r="K22" s="126"/>
      <c r="L22" s="126"/>
      <c r="M22" s="145" t="s">
        <v>72</v>
      </c>
      <c r="N22" s="125">
        <v>1948.0</v>
      </c>
      <c r="O22" s="126"/>
      <c r="P22" s="126"/>
      <c r="Q22" s="126"/>
      <c r="R22" s="126"/>
      <c r="S22" s="126"/>
      <c r="T22" s="126"/>
      <c r="U22" s="126"/>
      <c r="V22" s="126"/>
      <c r="W22" s="126"/>
      <c r="X22" s="126"/>
      <c r="Y22" s="126"/>
      <c r="Z22" s="120">
        <f t="shared" si="1"/>
        <v>0</v>
      </c>
      <c r="AA22" s="122"/>
      <c r="AB22" s="122"/>
      <c r="AC22" s="122"/>
    </row>
    <row r="23">
      <c r="A23" s="163">
        <v>44236.0</v>
      </c>
      <c r="B23" s="125" t="s">
        <v>314</v>
      </c>
      <c r="C23" s="125"/>
      <c r="D23" s="125">
        <v>-5071.0</v>
      </c>
      <c r="E23" s="145"/>
      <c r="F23" s="126"/>
      <c r="G23" s="126"/>
      <c r="H23" s="126"/>
      <c r="I23" s="126"/>
      <c r="J23" s="126"/>
      <c r="K23" s="126"/>
      <c r="L23" s="126"/>
      <c r="M23" s="145" t="s">
        <v>72</v>
      </c>
      <c r="N23" s="125">
        <v>5071.0</v>
      </c>
      <c r="O23" s="126"/>
      <c r="P23" s="126"/>
      <c r="Q23" s="126"/>
      <c r="R23" s="126"/>
      <c r="S23" s="126"/>
      <c r="T23" s="126"/>
      <c r="U23" s="126"/>
      <c r="V23" s="126"/>
      <c r="W23" s="126"/>
      <c r="X23" s="126"/>
      <c r="Y23" s="126"/>
      <c r="Z23" s="120">
        <f t="shared" si="1"/>
        <v>0</v>
      </c>
      <c r="AA23" s="122"/>
      <c r="AB23" s="122"/>
      <c r="AC23" s="122"/>
    </row>
    <row r="24">
      <c r="A24" s="163">
        <v>44236.0</v>
      </c>
      <c r="B24" s="125" t="s">
        <v>315</v>
      </c>
      <c r="C24" s="125"/>
      <c r="D24" s="125">
        <v>-354.0</v>
      </c>
      <c r="E24" s="145"/>
      <c r="F24" s="126"/>
      <c r="G24" s="126"/>
      <c r="H24" s="126"/>
      <c r="I24" s="126"/>
      <c r="J24" s="126"/>
      <c r="K24" s="126"/>
      <c r="L24" s="126"/>
      <c r="M24" s="145" t="s">
        <v>72</v>
      </c>
      <c r="N24" s="125">
        <v>354.0</v>
      </c>
      <c r="O24" s="126"/>
      <c r="P24" s="126"/>
      <c r="Q24" s="126"/>
      <c r="R24" s="126"/>
      <c r="S24" s="126"/>
      <c r="T24" s="126"/>
      <c r="U24" s="126"/>
      <c r="V24" s="126"/>
      <c r="W24" s="126"/>
      <c r="X24" s="126"/>
      <c r="Y24" s="126"/>
      <c r="Z24" s="120">
        <f t="shared" si="1"/>
        <v>0</v>
      </c>
      <c r="AA24" s="122"/>
      <c r="AB24" s="122"/>
      <c r="AC24" s="122"/>
    </row>
    <row r="25">
      <c r="A25" s="153">
        <v>44236.0</v>
      </c>
      <c r="B25" s="166" t="s">
        <v>316</v>
      </c>
      <c r="C25" s="108"/>
      <c r="D25" s="126">
        <f>-2080-1180</f>
        <v>-3260</v>
      </c>
      <c r="E25" s="126"/>
      <c r="F25" s="126"/>
      <c r="G25" s="126"/>
      <c r="H25" s="126"/>
      <c r="I25" s="126"/>
      <c r="J25" s="126"/>
      <c r="K25" s="126"/>
      <c r="L25" s="126"/>
      <c r="M25" s="125" t="s">
        <v>72</v>
      </c>
      <c r="N25" s="125">
        <v>3260.0</v>
      </c>
      <c r="O25" s="126"/>
      <c r="P25" s="126"/>
      <c r="Q25" s="126"/>
      <c r="R25" s="126"/>
      <c r="S25" s="126"/>
      <c r="T25" s="126"/>
      <c r="U25" s="126"/>
      <c r="V25" s="126"/>
      <c r="W25" s="126"/>
      <c r="X25" s="126"/>
      <c r="Y25" s="126"/>
      <c r="Z25" s="120">
        <f t="shared" si="1"/>
        <v>0</v>
      </c>
      <c r="AA25" s="122"/>
      <c r="AB25" s="122"/>
      <c r="AC25" s="122"/>
    </row>
    <row r="26">
      <c r="A26" s="163">
        <v>44237.0</v>
      </c>
      <c r="B26" s="125" t="s">
        <v>317</v>
      </c>
      <c r="C26" s="164"/>
      <c r="D26" s="164"/>
      <c r="E26" s="164"/>
      <c r="F26" s="164"/>
      <c r="G26" s="164"/>
      <c r="H26" s="164"/>
      <c r="I26" s="164"/>
      <c r="J26" s="145">
        <v>-925.44</v>
      </c>
      <c r="K26" s="165"/>
      <c r="L26" s="164"/>
      <c r="M26" s="145"/>
      <c r="N26" s="164"/>
      <c r="O26" s="164"/>
      <c r="P26" s="164"/>
      <c r="Q26" s="164"/>
      <c r="R26" s="164"/>
      <c r="S26" s="145">
        <v>-925.44</v>
      </c>
      <c r="T26" s="164"/>
      <c r="U26" s="164"/>
      <c r="V26" s="164"/>
      <c r="W26" s="164"/>
      <c r="X26" s="165"/>
      <c r="Y26" s="164"/>
      <c r="Z26" s="120">
        <f t="shared" si="1"/>
        <v>0</v>
      </c>
      <c r="AA26" s="122"/>
      <c r="AB26" s="122"/>
      <c r="AC26" s="122"/>
    </row>
    <row r="27">
      <c r="A27" s="163">
        <v>44238.0</v>
      </c>
      <c r="B27" s="125" t="s">
        <v>74</v>
      </c>
      <c r="C27" s="164"/>
      <c r="D27" s="165"/>
      <c r="E27" s="164"/>
      <c r="F27" s="164"/>
      <c r="G27" s="164"/>
      <c r="H27" s="164"/>
      <c r="I27" s="164"/>
      <c r="J27" s="164"/>
      <c r="K27" s="164"/>
      <c r="L27" s="164"/>
      <c r="M27" s="145" t="s">
        <v>72</v>
      </c>
      <c r="N27" s="145">
        <v>7832.0</v>
      </c>
      <c r="O27" s="164"/>
      <c r="P27" s="164"/>
      <c r="Q27" s="164"/>
      <c r="R27" s="164"/>
      <c r="S27" s="164"/>
      <c r="T27" s="145">
        <v>7832.0</v>
      </c>
      <c r="U27" s="164"/>
      <c r="V27" s="164"/>
      <c r="W27" s="164"/>
      <c r="X27" s="164"/>
      <c r="Y27" s="164"/>
      <c r="Z27" s="120">
        <f t="shared" si="1"/>
        <v>0</v>
      </c>
      <c r="AA27" s="121"/>
      <c r="AB27" s="122"/>
      <c r="AC27" s="122"/>
    </row>
    <row r="28">
      <c r="A28" s="163">
        <v>44238.0</v>
      </c>
      <c r="B28" s="125" t="s">
        <v>318</v>
      </c>
      <c r="C28" s="164"/>
      <c r="D28" s="164"/>
      <c r="E28" s="164"/>
      <c r="F28" s="164"/>
      <c r="G28" s="164"/>
      <c r="H28" s="164"/>
      <c r="I28" s="164"/>
      <c r="J28" s="164"/>
      <c r="K28" s="164"/>
      <c r="L28" s="164"/>
      <c r="M28" s="145" t="s">
        <v>72</v>
      </c>
      <c r="N28" s="165"/>
      <c r="O28" s="164"/>
      <c r="P28" s="164"/>
      <c r="Q28" s="145">
        <v>435.0</v>
      </c>
      <c r="R28" s="164"/>
      <c r="S28" s="164"/>
      <c r="T28" s="145">
        <v>435.0</v>
      </c>
      <c r="U28" s="164"/>
      <c r="V28" s="164"/>
      <c r="W28" s="164"/>
      <c r="X28" s="164"/>
      <c r="Y28" s="164"/>
      <c r="Z28" s="120">
        <f t="shared" si="1"/>
        <v>0</v>
      </c>
      <c r="AA28" s="121"/>
    </row>
    <row r="29">
      <c r="A29" s="163">
        <v>44238.0</v>
      </c>
      <c r="B29" s="125" t="s">
        <v>319</v>
      </c>
      <c r="C29" s="164"/>
      <c r="D29" s="164"/>
      <c r="E29" s="164"/>
      <c r="F29" s="164"/>
      <c r="G29" s="164"/>
      <c r="H29" s="164"/>
      <c r="I29" s="164"/>
      <c r="J29" s="145">
        <v>4.48</v>
      </c>
      <c r="K29" s="164"/>
      <c r="L29" s="164"/>
      <c r="M29" s="145"/>
      <c r="N29" s="165"/>
      <c r="O29" s="164"/>
      <c r="P29" s="164"/>
      <c r="Q29" s="164"/>
      <c r="R29" s="164"/>
      <c r="S29" s="165"/>
      <c r="T29" s="164"/>
      <c r="U29" s="165"/>
      <c r="V29" s="165"/>
      <c r="W29" s="164"/>
      <c r="X29" s="164"/>
      <c r="Y29" s="145">
        <v>4.48</v>
      </c>
      <c r="Z29" s="120">
        <f t="shared" si="1"/>
        <v>0</v>
      </c>
      <c r="AA29" s="122"/>
      <c r="AB29" s="122"/>
      <c r="AC29" s="122"/>
    </row>
    <row r="30">
      <c r="A30" s="163">
        <v>44238.0</v>
      </c>
      <c r="B30" s="125" t="s">
        <v>320</v>
      </c>
      <c r="C30" s="125"/>
      <c r="D30" s="125">
        <v>-60.0</v>
      </c>
      <c r="E30" s="145"/>
      <c r="F30" s="126"/>
      <c r="G30" s="126"/>
      <c r="H30" s="126"/>
      <c r="I30" s="126"/>
      <c r="J30" s="126"/>
      <c r="K30" s="126"/>
      <c r="L30" s="126"/>
      <c r="M30" s="145" t="s">
        <v>72</v>
      </c>
      <c r="N30" s="126"/>
      <c r="O30" s="126"/>
      <c r="P30" s="126"/>
      <c r="Q30" s="125">
        <v>60.0</v>
      </c>
      <c r="R30" s="126"/>
      <c r="S30" s="126"/>
      <c r="T30" s="126"/>
      <c r="U30" s="126"/>
      <c r="V30" s="126"/>
      <c r="W30" s="126"/>
      <c r="X30" s="126"/>
      <c r="Y30" s="126"/>
      <c r="Z30" s="120">
        <f t="shared" si="1"/>
        <v>0</v>
      </c>
      <c r="AA30" s="122"/>
      <c r="AB30" s="122"/>
      <c r="AC30" s="122"/>
    </row>
    <row r="31">
      <c r="A31" s="163">
        <v>44239.0</v>
      </c>
      <c r="B31" s="125" t="s">
        <v>321</v>
      </c>
      <c r="C31" s="165"/>
      <c r="D31" s="164"/>
      <c r="E31" s="164"/>
      <c r="F31" s="164"/>
      <c r="G31" s="164"/>
      <c r="H31" s="164"/>
      <c r="I31" s="164"/>
      <c r="J31" s="145">
        <v>44.16</v>
      </c>
      <c r="K31" s="164"/>
      <c r="L31" s="164"/>
      <c r="M31" s="145"/>
      <c r="N31" s="164"/>
      <c r="O31" s="164"/>
      <c r="P31" s="164"/>
      <c r="Q31" s="164"/>
      <c r="R31" s="164"/>
      <c r="S31" s="164"/>
      <c r="T31" s="164"/>
      <c r="U31" s="165"/>
      <c r="V31" s="165"/>
      <c r="W31" s="164"/>
      <c r="X31" s="164"/>
      <c r="Y31" s="145">
        <v>44.16</v>
      </c>
      <c r="Z31" s="120">
        <f t="shared" si="1"/>
        <v>0</v>
      </c>
      <c r="AA31" s="122"/>
      <c r="AB31" s="122"/>
      <c r="AC31" s="122"/>
    </row>
    <row r="32">
      <c r="A32" s="163">
        <v>44239.0</v>
      </c>
      <c r="B32" s="125" t="s">
        <v>322</v>
      </c>
      <c r="C32" s="164"/>
      <c r="D32" s="164"/>
      <c r="E32" s="164"/>
      <c r="F32" s="164"/>
      <c r="G32" s="164"/>
      <c r="H32" s="164"/>
      <c r="I32" s="164"/>
      <c r="J32" s="145">
        <v>48.64</v>
      </c>
      <c r="K32" s="164"/>
      <c r="L32" s="164"/>
      <c r="M32" s="145"/>
      <c r="N32" s="164"/>
      <c r="O32" s="164"/>
      <c r="P32" s="164"/>
      <c r="Q32" s="164"/>
      <c r="R32" s="164"/>
      <c r="S32" s="164"/>
      <c r="T32" s="164"/>
      <c r="U32" s="164"/>
      <c r="V32" s="164"/>
      <c r="W32" s="164"/>
      <c r="X32" s="164"/>
      <c r="Y32" s="145">
        <v>48.64</v>
      </c>
      <c r="Z32" s="120">
        <f t="shared" si="1"/>
        <v>0</v>
      </c>
      <c r="AA32" s="122"/>
      <c r="AB32" s="122"/>
      <c r="AC32" s="122"/>
    </row>
    <row r="33">
      <c r="A33" s="163">
        <v>44240.0</v>
      </c>
      <c r="B33" s="125" t="s">
        <v>323</v>
      </c>
      <c r="C33" s="164"/>
      <c r="D33" s="165"/>
      <c r="E33" s="164"/>
      <c r="F33" s="164"/>
      <c r="G33" s="164"/>
      <c r="H33" s="164"/>
      <c r="I33" s="164"/>
      <c r="J33" s="164"/>
      <c r="K33" s="164"/>
      <c r="L33" s="164"/>
      <c r="M33" s="145" t="s">
        <v>72</v>
      </c>
      <c r="N33" s="145">
        <v>2290.0</v>
      </c>
      <c r="O33" s="164"/>
      <c r="P33" s="164"/>
      <c r="Q33" s="164"/>
      <c r="R33" s="164"/>
      <c r="S33" s="164"/>
      <c r="T33" s="145">
        <v>2290.0</v>
      </c>
      <c r="U33" s="164"/>
      <c r="V33" s="164"/>
      <c r="W33" s="164"/>
      <c r="X33" s="164"/>
      <c r="Y33" s="164"/>
      <c r="Z33" s="120">
        <f t="shared" si="1"/>
        <v>0</v>
      </c>
      <c r="AA33" s="121"/>
      <c r="AB33" s="122"/>
      <c r="AC33" s="122"/>
    </row>
    <row r="34">
      <c r="A34" s="163">
        <v>44240.0</v>
      </c>
      <c r="B34" s="125" t="s">
        <v>324</v>
      </c>
      <c r="C34" s="164"/>
      <c r="D34" s="164"/>
      <c r="E34" s="164"/>
      <c r="F34" s="164"/>
      <c r="G34" s="164"/>
      <c r="H34" s="164"/>
      <c r="I34" s="164"/>
      <c r="J34" s="164"/>
      <c r="K34" s="164"/>
      <c r="L34" s="164"/>
      <c r="M34" s="145" t="s">
        <v>72</v>
      </c>
      <c r="N34" s="164"/>
      <c r="O34" s="164"/>
      <c r="P34" s="165"/>
      <c r="Q34" s="145">
        <v>939.0</v>
      </c>
      <c r="R34" s="164"/>
      <c r="S34" s="164"/>
      <c r="T34" s="145">
        <v>939.0</v>
      </c>
      <c r="U34" s="164"/>
      <c r="V34" s="164"/>
      <c r="W34" s="164"/>
      <c r="X34" s="164"/>
      <c r="Y34" s="164"/>
      <c r="Z34" s="120">
        <f t="shared" si="1"/>
        <v>0</v>
      </c>
      <c r="AA34" s="121"/>
    </row>
    <row r="35">
      <c r="A35" s="163">
        <v>44240.0</v>
      </c>
      <c r="B35" s="125" t="s">
        <v>288</v>
      </c>
      <c r="C35" s="164"/>
      <c r="D35" s="164"/>
      <c r="E35" s="145"/>
      <c r="F35" s="164"/>
      <c r="G35" s="164"/>
      <c r="H35" s="164"/>
      <c r="I35" s="164"/>
      <c r="J35" s="164"/>
      <c r="K35" s="164"/>
      <c r="L35" s="164"/>
      <c r="M35" s="145" t="s">
        <v>72</v>
      </c>
      <c r="N35" s="145">
        <v>2476.0</v>
      </c>
      <c r="O35" s="164"/>
      <c r="P35" s="164"/>
      <c r="Q35" s="164"/>
      <c r="R35" s="164"/>
      <c r="S35" s="164"/>
      <c r="T35" s="145">
        <v>2476.0</v>
      </c>
      <c r="U35" s="164"/>
      <c r="V35" s="164"/>
      <c r="W35" s="164"/>
      <c r="X35" s="164"/>
      <c r="Y35" s="164"/>
      <c r="Z35" s="120">
        <f t="shared" si="1"/>
        <v>0</v>
      </c>
    </row>
    <row r="36">
      <c r="A36" s="163">
        <v>44240.0</v>
      </c>
      <c r="B36" s="125" t="s">
        <v>95</v>
      </c>
      <c r="C36" s="164"/>
      <c r="D36" s="164"/>
      <c r="E36" s="164"/>
      <c r="F36" s="164"/>
      <c r="G36" s="164"/>
      <c r="H36" s="164"/>
      <c r="I36" s="164"/>
      <c r="J36" s="165"/>
      <c r="K36" s="164"/>
      <c r="L36" s="164"/>
      <c r="M36" s="145" t="s">
        <v>72</v>
      </c>
      <c r="N36" s="145">
        <v>1326.08</v>
      </c>
      <c r="O36" s="164"/>
      <c r="P36" s="164"/>
      <c r="Q36" s="164"/>
      <c r="R36" s="164"/>
      <c r="S36" s="145">
        <v>1326.08</v>
      </c>
      <c r="T36" s="164"/>
      <c r="U36" s="164"/>
      <c r="V36" s="164"/>
      <c r="W36" s="164"/>
      <c r="X36" s="164"/>
      <c r="Y36" s="165"/>
      <c r="Z36" s="120">
        <f t="shared" si="1"/>
        <v>0</v>
      </c>
      <c r="AA36" s="122"/>
      <c r="AB36" s="122"/>
      <c r="AC36" s="122"/>
    </row>
    <row r="37">
      <c r="A37" s="163">
        <v>44240.0</v>
      </c>
      <c r="B37" s="125" t="s">
        <v>325</v>
      </c>
      <c r="C37" s="145"/>
      <c r="D37" s="145">
        <v>-330.0</v>
      </c>
      <c r="E37" s="145"/>
      <c r="F37" s="145"/>
      <c r="G37" s="145"/>
      <c r="H37" s="145"/>
      <c r="I37" s="145"/>
      <c r="J37" s="145"/>
      <c r="K37" s="145"/>
      <c r="L37" s="145"/>
      <c r="M37" s="145" t="s">
        <v>72</v>
      </c>
      <c r="N37" s="145"/>
      <c r="O37" s="145"/>
      <c r="P37" s="145"/>
      <c r="Q37" s="145">
        <v>330.0</v>
      </c>
      <c r="R37" s="145"/>
      <c r="S37" s="145"/>
      <c r="T37" s="145"/>
      <c r="U37" s="145"/>
      <c r="V37" s="145"/>
      <c r="W37" s="145"/>
      <c r="X37" s="145"/>
      <c r="Y37" s="145"/>
      <c r="Z37" s="120">
        <f t="shared" si="1"/>
        <v>0</v>
      </c>
      <c r="AA37" s="123"/>
      <c r="AB37" s="122"/>
      <c r="AC37" s="122"/>
    </row>
    <row r="38">
      <c r="A38" s="163">
        <v>44241.0</v>
      </c>
      <c r="B38" s="125" t="s">
        <v>291</v>
      </c>
      <c r="C38" s="125"/>
      <c r="D38" s="125">
        <v>-2000.0</v>
      </c>
      <c r="E38" s="145"/>
      <c r="F38" s="126"/>
      <c r="G38" s="126"/>
      <c r="H38" s="126"/>
      <c r="I38" s="126"/>
      <c r="J38" s="126"/>
      <c r="K38" s="126"/>
      <c r="L38" s="126"/>
      <c r="M38" s="145" t="s">
        <v>72</v>
      </c>
      <c r="N38" s="126"/>
      <c r="O38" s="125">
        <v>2000.0</v>
      </c>
      <c r="P38" s="126"/>
      <c r="Q38" s="126"/>
      <c r="R38" s="126"/>
      <c r="S38" s="126"/>
      <c r="T38" s="126"/>
      <c r="U38" s="126"/>
      <c r="V38" s="126"/>
      <c r="W38" s="126"/>
      <c r="X38" s="126"/>
      <c r="Y38" s="126"/>
      <c r="Z38" s="120">
        <f t="shared" si="1"/>
        <v>0</v>
      </c>
      <c r="AA38" s="122"/>
      <c r="AB38" s="122"/>
      <c r="AC38" s="122"/>
    </row>
    <row r="39">
      <c r="A39" s="163">
        <v>44242.0</v>
      </c>
      <c r="B39" s="125" t="s">
        <v>76</v>
      </c>
      <c r="C39" s="164"/>
      <c r="D39" s="164"/>
      <c r="E39" s="164"/>
      <c r="F39" s="164"/>
      <c r="G39" s="164"/>
      <c r="H39" s="164"/>
      <c r="I39" s="164"/>
      <c r="J39" s="164"/>
      <c r="K39" s="164"/>
      <c r="L39" s="164"/>
      <c r="M39" s="145" t="s">
        <v>72</v>
      </c>
      <c r="N39" s="145">
        <v>730.0</v>
      </c>
      <c r="O39" s="164"/>
      <c r="P39" s="164"/>
      <c r="Q39" s="164"/>
      <c r="R39" s="164"/>
      <c r="S39" s="164"/>
      <c r="T39" s="145">
        <v>730.0</v>
      </c>
      <c r="U39" s="164"/>
      <c r="V39" s="164"/>
      <c r="W39" s="164"/>
      <c r="X39" s="164"/>
      <c r="Y39" s="164"/>
      <c r="Z39" s="120">
        <f t="shared" si="1"/>
        <v>0</v>
      </c>
      <c r="AA39" s="121"/>
      <c r="AB39" s="122"/>
      <c r="AC39" s="122"/>
    </row>
    <row r="40">
      <c r="A40" s="163">
        <v>44242.0</v>
      </c>
      <c r="B40" s="125" t="s">
        <v>73</v>
      </c>
      <c r="C40" s="164"/>
      <c r="D40" s="164"/>
      <c r="E40" s="164"/>
      <c r="F40" s="164"/>
      <c r="G40" s="164"/>
      <c r="H40" s="164"/>
      <c r="I40" s="164"/>
      <c r="J40" s="164"/>
      <c r="K40" s="164"/>
      <c r="L40" s="164"/>
      <c r="M40" s="145" t="s">
        <v>72</v>
      </c>
      <c r="N40" s="145">
        <v>610.0</v>
      </c>
      <c r="O40" s="164"/>
      <c r="P40" s="164"/>
      <c r="Q40" s="164"/>
      <c r="R40" s="164"/>
      <c r="S40" s="164"/>
      <c r="T40" s="145">
        <v>610.0</v>
      </c>
      <c r="U40" s="165"/>
      <c r="V40" s="164"/>
      <c r="W40" s="164"/>
      <c r="X40" s="164"/>
      <c r="Y40" s="164"/>
      <c r="Z40" s="120">
        <f t="shared" si="1"/>
        <v>0</v>
      </c>
      <c r="AA40" s="121"/>
      <c r="AB40" s="122"/>
      <c r="AC40" s="122"/>
    </row>
    <row r="41">
      <c r="A41" s="163">
        <v>44242.0</v>
      </c>
      <c r="B41" s="125" t="s">
        <v>326</v>
      </c>
      <c r="C41" s="125"/>
      <c r="D41" s="166">
        <v>-1290.0</v>
      </c>
      <c r="E41" s="145"/>
      <c r="F41" s="126"/>
      <c r="G41" s="126"/>
      <c r="H41" s="126"/>
      <c r="I41" s="126"/>
      <c r="J41" s="126"/>
      <c r="K41" s="126"/>
      <c r="L41" s="126"/>
      <c r="M41" s="145" t="s">
        <v>72</v>
      </c>
      <c r="N41" s="125">
        <v>1290.0</v>
      </c>
      <c r="O41" s="126"/>
      <c r="P41" s="126"/>
      <c r="Q41" s="126"/>
      <c r="R41" s="126"/>
      <c r="S41" s="126"/>
      <c r="T41" s="126"/>
      <c r="U41" s="126"/>
      <c r="V41" s="126"/>
      <c r="W41" s="126"/>
      <c r="X41" s="126"/>
      <c r="Y41" s="126"/>
      <c r="Z41" s="120">
        <f t="shared" si="1"/>
        <v>0</v>
      </c>
      <c r="AA41" s="122"/>
      <c r="AB41" s="122"/>
      <c r="AC41" s="122"/>
    </row>
    <row r="42">
      <c r="A42" s="163">
        <v>44243.0</v>
      </c>
      <c r="B42" s="125" t="s">
        <v>77</v>
      </c>
      <c r="C42" s="164"/>
      <c r="D42" s="165"/>
      <c r="E42" s="164"/>
      <c r="F42" s="164"/>
      <c r="G42" s="164"/>
      <c r="H42" s="164"/>
      <c r="I42" s="164"/>
      <c r="J42" s="164"/>
      <c r="K42" s="164"/>
      <c r="L42" s="164"/>
      <c r="M42" s="145" t="s">
        <v>72</v>
      </c>
      <c r="N42" s="165"/>
      <c r="O42" s="164"/>
      <c r="P42" s="164"/>
      <c r="Q42" s="145">
        <v>250.0</v>
      </c>
      <c r="R42" s="164"/>
      <c r="S42" s="164"/>
      <c r="T42" s="145">
        <v>250.0</v>
      </c>
      <c r="U42" s="164"/>
      <c r="V42" s="164"/>
      <c r="W42" s="164"/>
      <c r="X42" s="164"/>
      <c r="Y42" s="164"/>
      <c r="Z42" s="120">
        <f t="shared" si="1"/>
        <v>0</v>
      </c>
      <c r="AA42" s="121"/>
    </row>
    <row r="43">
      <c r="A43" s="163">
        <v>44243.0</v>
      </c>
      <c r="B43" s="125" t="s">
        <v>327</v>
      </c>
      <c r="C43" s="164"/>
      <c r="D43" s="164"/>
      <c r="E43" s="164"/>
      <c r="F43" s="164"/>
      <c r="G43" s="164"/>
      <c r="H43" s="164"/>
      <c r="I43" s="164"/>
      <c r="J43" s="164"/>
      <c r="K43" s="164"/>
      <c r="L43" s="164"/>
      <c r="M43" s="145" t="s">
        <v>72</v>
      </c>
      <c r="N43" s="164"/>
      <c r="O43" s="164"/>
      <c r="P43" s="165"/>
      <c r="Q43" s="145">
        <v>754.0</v>
      </c>
      <c r="R43" s="164"/>
      <c r="S43" s="164"/>
      <c r="T43" s="145">
        <v>754.0</v>
      </c>
      <c r="U43" s="164"/>
      <c r="V43" s="164"/>
      <c r="W43" s="164"/>
      <c r="X43" s="164"/>
      <c r="Y43" s="164"/>
      <c r="Z43" s="120">
        <f t="shared" si="1"/>
        <v>0</v>
      </c>
      <c r="AA43" s="121"/>
    </row>
    <row r="44">
      <c r="A44" s="163">
        <v>44245.0</v>
      </c>
      <c r="B44" s="125" t="s">
        <v>74</v>
      </c>
      <c r="C44" s="164"/>
      <c r="D44" s="164"/>
      <c r="E44" s="165"/>
      <c r="F44" s="164"/>
      <c r="G44" s="164"/>
      <c r="H44" s="164"/>
      <c r="I44" s="164"/>
      <c r="J44" s="164"/>
      <c r="K44" s="164"/>
      <c r="L44" s="164"/>
      <c r="M44" s="145" t="s">
        <v>72</v>
      </c>
      <c r="N44" s="145">
        <v>10336.0</v>
      </c>
      <c r="O44" s="164"/>
      <c r="P44" s="164"/>
      <c r="Q44" s="164"/>
      <c r="R44" s="164"/>
      <c r="S44" s="164"/>
      <c r="T44" s="145">
        <v>10336.0</v>
      </c>
      <c r="U44" s="164"/>
      <c r="V44" s="164"/>
      <c r="W44" s="164"/>
      <c r="X44" s="164"/>
      <c r="Y44" s="164"/>
      <c r="Z44" s="120">
        <f t="shared" si="1"/>
        <v>0</v>
      </c>
      <c r="AA44" s="121"/>
      <c r="AB44" s="122"/>
      <c r="AC44" s="122"/>
    </row>
    <row r="45">
      <c r="A45" s="163">
        <v>44245.0</v>
      </c>
      <c r="B45" s="125" t="s">
        <v>93</v>
      </c>
      <c r="C45" s="164"/>
      <c r="D45" s="165"/>
      <c r="E45" s="164"/>
      <c r="F45" s="164"/>
      <c r="G45" s="164"/>
      <c r="H45" s="164"/>
      <c r="I45" s="164"/>
      <c r="J45" s="145">
        <v>-160.0</v>
      </c>
      <c r="K45" s="145">
        <v>160.0</v>
      </c>
      <c r="L45" s="164"/>
      <c r="M45" s="145"/>
      <c r="N45" s="165"/>
      <c r="O45" s="164"/>
      <c r="P45" s="164"/>
      <c r="Q45" s="164"/>
      <c r="R45" s="164"/>
      <c r="S45" s="164"/>
      <c r="T45" s="164"/>
      <c r="U45" s="164"/>
      <c r="V45" s="164"/>
      <c r="W45" s="164"/>
      <c r="X45" s="164"/>
      <c r="Y45" s="164"/>
      <c r="Z45" s="120">
        <f t="shared" si="1"/>
        <v>0</v>
      </c>
    </row>
    <row r="46">
      <c r="A46" s="163">
        <v>44248.0</v>
      </c>
      <c r="B46" s="125" t="s">
        <v>74</v>
      </c>
      <c r="C46" s="164"/>
      <c r="D46" s="164"/>
      <c r="E46" s="164"/>
      <c r="F46" s="164"/>
      <c r="G46" s="164"/>
      <c r="H46" s="164"/>
      <c r="I46" s="164"/>
      <c r="J46" s="164"/>
      <c r="K46" s="164"/>
      <c r="L46" s="164"/>
      <c r="M46" s="145" t="s">
        <v>72</v>
      </c>
      <c r="N46" s="145">
        <v>448.0</v>
      </c>
      <c r="O46" s="164"/>
      <c r="P46" s="164"/>
      <c r="Q46" s="164"/>
      <c r="R46" s="164"/>
      <c r="S46" s="164"/>
      <c r="T46" s="145">
        <v>448.0</v>
      </c>
      <c r="U46" s="165"/>
      <c r="V46" s="164"/>
      <c r="W46" s="164"/>
      <c r="X46" s="164"/>
      <c r="Y46" s="164"/>
      <c r="Z46" s="120">
        <f t="shared" si="1"/>
        <v>0</v>
      </c>
      <c r="AA46" s="121"/>
      <c r="AB46" s="122"/>
      <c r="AC46" s="122"/>
    </row>
    <row r="47">
      <c r="A47" s="163">
        <v>44248.0</v>
      </c>
      <c r="B47" s="125" t="s">
        <v>328</v>
      </c>
      <c r="C47" s="125"/>
      <c r="D47" s="125">
        <v>-150.0</v>
      </c>
      <c r="E47" s="145"/>
      <c r="F47" s="126"/>
      <c r="G47" s="126"/>
      <c r="H47" s="126"/>
      <c r="I47" s="126"/>
      <c r="J47" s="126"/>
      <c r="K47" s="126"/>
      <c r="L47" s="126"/>
      <c r="M47" s="145" t="s">
        <v>81</v>
      </c>
      <c r="N47" s="126"/>
      <c r="O47" s="125">
        <v>150.0</v>
      </c>
      <c r="P47" s="126"/>
      <c r="Q47" s="126"/>
      <c r="R47" s="126"/>
      <c r="S47" s="126"/>
      <c r="T47" s="126"/>
      <c r="U47" s="126"/>
      <c r="V47" s="126"/>
      <c r="W47" s="126"/>
      <c r="X47" s="126"/>
      <c r="Y47" s="126"/>
      <c r="Z47" s="120">
        <f t="shared" si="1"/>
        <v>0</v>
      </c>
      <c r="AA47" s="122"/>
      <c r="AB47" s="122"/>
      <c r="AC47" s="122"/>
    </row>
    <row r="48">
      <c r="A48" s="163">
        <v>44249.0</v>
      </c>
      <c r="B48" s="125" t="s">
        <v>74</v>
      </c>
      <c r="C48" s="164"/>
      <c r="D48" s="164"/>
      <c r="E48" s="164"/>
      <c r="F48" s="164"/>
      <c r="G48" s="164"/>
      <c r="H48" s="164"/>
      <c r="I48" s="164"/>
      <c r="J48" s="164"/>
      <c r="K48" s="164"/>
      <c r="L48" s="164"/>
      <c r="M48" s="145" t="s">
        <v>72</v>
      </c>
      <c r="N48" s="145">
        <v>12704.0</v>
      </c>
      <c r="O48" s="164"/>
      <c r="P48" s="164"/>
      <c r="Q48" s="164"/>
      <c r="R48" s="164"/>
      <c r="S48" s="164"/>
      <c r="T48" s="145">
        <v>12704.0</v>
      </c>
      <c r="U48" s="164"/>
      <c r="V48" s="164"/>
      <c r="W48" s="164"/>
      <c r="X48" s="164"/>
      <c r="Y48" s="164"/>
      <c r="Z48" s="120">
        <f t="shared" si="1"/>
        <v>0</v>
      </c>
      <c r="AA48" s="121"/>
      <c r="AB48" s="122"/>
      <c r="AC48" s="122"/>
    </row>
    <row r="49">
      <c r="A49" s="163">
        <v>44249.0</v>
      </c>
      <c r="B49" s="125" t="s">
        <v>93</v>
      </c>
      <c r="C49" s="164"/>
      <c r="D49" s="164"/>
      <c r="E49" s="165"/>
      <c r="F49" s="164"/>
      <c r="G49" s="164"/>
      <c r="H49" s="164"/>
      <c r="I49" s="164"/>
      <c r="J49" s="145">
        <v>-160.0</v>
      </c>
      <c r="K49" s="145">
        <v>160.0</v>
      </c>
      <c r="L49" s="164"/>
      <c r="M49" s="145"/>
      <c r="N49" s="164"/>
      <c r="O49" s="164"/>
      <c r="P49" s="165"/>
      <c r="Q49" s="165"/>
      <c r="R49" s="164"/>
      <c r="S49" s="164"/>
      <c r="T49" s="165"/>
      <c r="U49" s="165"/>
      <c r="V49" s="165"/>
      <c r="W49" s="164"/>
      <c r="X49" s="164"/>
      <c r="Y49" s="164"/>
      <c r="Z49" s="120">
        <f t="shared" si="1"/>
        <v>0</v>
      </c>
    </row>
    <row r="50">
      <c r="A50" s="163">
        <v>44250.0</v>
      </c>
      <c r="B50" s="125" t="s">
        <v>74</v>
      </c>
      <c r="C50" s="164"/>
      <c r="D50" s="164"/>
      <c r="E50" s="164"/>
      <c r="F50" s="164"/>
      <c r="G50" s="164"/>
      <c r="H50" s="164"/>
      <c r="I50" s="164"/>
      <c r="J50" s="164"/>
      <c r="K50" s="164"/>
      <c r="L50" s="164"/>
      <c r="M50" s="145" t="s">
        <v>72</v>
      </c>
      <c r="N50" s="145">
        <v>3224.0</v>
      </c>
      <c r="O50" s="164"/>
      <c r="P50" s="164"/>
      <c r="Q50" s="164"/>
      <c r="R50" s="164"/>
      <c r="S50" s="164"/>
      <c r="T50" s="145">
        <v>3224.0</v>
      </c>
      <c r="U50" s="164"/>
      <c r="V50" s="164"/>
      <c r="W50" s="164"/>
      <c r="X50" s="164"/>
      <c r="Y50" s="164"/>
      <c r="Z50" s="120">
        <f t="shared" si="1"/>
        <v>0</v>
      </c>
      <c r="AA50" s="121"/>
      <c r="AB50" s="122"/>
      <c r="AC50" s="122"/>
    </row>
    <row r="51">
      <c r="A51" s="163">
        <v>44250.0</v>
      </c>
      <c r="B51" s="125" t="s">
        <v>329</v>
      </c>
      <c r="C51" s="164"/>
      <c r="D51" s="164"/>
      <c r="E51" s="164"/>
      <c r="F51" s="164"/>
      <c r="G51" s="164"/>
      <c r="H51" s="164"/>
      <c r="I51" s="164"/>
      <c r="J51" s="164"/>
      <c r="K51" s="164"/>
      <c r="L51" s="164"/>
      <c r="M51" s="145" t="s">
        <v>79</v>
      </c>
      <c r="N51" s="165"/>
      <c r="O51" s="164"/>
      <c r="P51" s="145">
        <v>5489.0</v>
      </c>
      <c r="Q51" s="164"/>
      <c r="R51" s="164"/>
      <c r="S51" s="164"/>
      <c r="T51" s="145">
        <v>5489.0</v>
      </c>
      <c r="U51" s="164"/>
      <c r="V51" s="164"/>
      <c r="W51" s="164"/>
      <c r="X51" s="164"/>
      <c r="Y51" s="164"/>
      <c r="Z51" s="120">
        <f t="shared" si="1"/>
        <v>0</v>
      </c>
      <c r="AA51" s="121"/>
    </row>
    <row r="52">
      <c r="A52" s="163">
        <v>44251.0</v>
      </c>
      <c r="B52" s="125" t="s">
        <v>330</v>
      </c>
      <c r="C52" s="164"/>
      <c r="D52" s="164"/>
      <c r="E52" s="164"/>
      <c r="F52" s="164"/>
      <c r="G52" s="164"/>
      <c r="H52" s="164"/>
      <c r="I52" s="164"/>
      <c r="J52" s="164"/>
      <c r="K52" s="164"/>
      <c r="L52" s="164"/>
      <c r="M52" s="145" t="s">
        <v>72</v>
      </c>
      <c r="N52" s="165"/>
      <c r="O52" s="164"/>
      <c r="P52" s="145">
        <v>3340.0</v>
      </c>
      <c r="Q52" s="164"/>
      <c r="R52" s="164"/>
      <c r="S52" s="164"/>
      <c r="T52" s="145">
        <v>3340.0</v>
      </c>
      <c r="U52" s="164"/>
      <c r="V52" s="164"/>
      <c r="W52" s="164"/>
      <c r="X52" s="164"/>
      <c r="Y52" s="164"/>
      <c r="Z52" s="120">
        <f t="shared" si="1"/>
        <v>0</v>
      </c>
      <c r="AA52" s="121"/>
    </row>
    <row r="53">
      <c r="A53" s="163">
        <v>44251.0</v>
      </c>
      <c r="B53" s="125" t="s">
        <v>331</v>
      </c>
      <c r="C53" s="164"/>
      <c r="D53" s="164"/>
      <c r="E53" s="145"/>
      <c r="F53" s="164"/>
      <c r="G53" s="164"/>
      <c r="H53" s="164"/>
      <c r="I53" s="164"/>
      <c r="J53" s="164"/>
      <c r="K53" s="164"/>
      <c r="L53" s="164"/>
      <c r="M53" s="145" t="s">
        <v>72</v>
      </c>
      <c r="N53" s="165"/>
      <c r="O53" s="164"/>
      <c r="P53" s="145">
        <v>3285.0</v>
      </c>
      <c r="Q53" s="164"/>
      <c r="R53" s="164"/>
      <c r="S53" s="164"/>
      <c r="T53" s="145">
        <v>3285.0</v>
      </c>
      <c r="U53" s="164"/>
      <c r="V53" s="164"/>
      <c r="W53" s="164"/>
      <c r="X53" s="164"/>
      <c r="Y53" s="164"/>
      <c r="Z53" s="120">
        <f t="shared" si="1"/>
        <v>0</v>
      </c>
    </row>
    <row r="54">
      <c r="A54" s="153">
        <v>44251.0</v>
      </c>
      <c r="B54" s="125" t="s">
        <v>29</v>
      </c>
      <c r="C54" s="125">
        <v>148000.0</v>
      </c>
      <c r="D54" s="126"/>
      <c r="E54" s="126"/>
      <c r="F54" s="126"/>
      <c r="G54" s="126"/>
      <c r="H54" s="126"/>
      <c r="I54" s="126"/>
      <c r="J54" s="126"/>
      <c r="K54" s="126"/>
      <c r="L54" s="126"/>
      <c r="M54" s="126"/>
      <c r="N54" s="126"/>
      <c r="O54" s="126"/>
      <c r="P54" s="126"/>
      <c r="Q54" s="126"/>
      <c r="R54" s="126"/>
      <c r="S54" s="126"/>
      <c r="T54" s="126"/>
      <c r="U54" s="126"/>
      <c r="V54" s="126"/>
      <c r="W54" s="125">
        <v>148000.0</v>
      </c>
      <c r="X54" s="126"/>
      <c r="Y54" s="126"/>
      <c r="Z54" s="120">
        <f t="shared" si="1"/>
        <v>0</v>
      </c>
      <c r="AA54" s="122"/>
      <c r="AB54" s="122"/>
      <c r="AC54" s="122"/>
    </row>
    <row r="55">
      <c r="A55" s="163">
        <v>44253.0</v>
      </c>
      <c r="B55" s="125" t="s">
        <v>74</v>
      </c>
      <c r="C55" s="164"/>
      <c r="D55" s="164"/>
      <c r="E55" s="164"/>
      <c r="F55" s="164"/>
      <c r="G55" s="164"/>
      <c r="H55" s="164"/>
      <c r="I55" s="164"/>
      <c r="J55" s="164"/>
      <c r="K55" s="164"/>
      <c r="L55" s="164"/>
      <c r="M55" s="145" t="s">
        <v>72</v>
      </c>
      <c r="N55" s="145">
        <v>9727.0</v>
      </c>
      <c r="O55" s="164"/>
      <c r="P55" s="164"/>
      <c r="Q55" s="164"/>
      <c r="R55" s="164"/>
      <c r="S55" s="164"/>
      <c r="T55" s="145">
        <v>9727.0</v>
      </c>
      <c r="U55" s="164"/>
      <c r="V55" s="164"/>
      <c r="W55" s="164"/>
      <c r="X55" s="164"/>
      <c r="Y55" s="164"/>
      <c r="Z55" s="120">
        <f t="shared" si="1"/>
        <v>0</v>
      </c>
      <c r="AA55" s="121"/>
      <c r="AB55" s="122"/>
      <c r="AC55" s="122"/>
    </row>
    <row r="56">
      <c r="A56" s="163">
        <v>44253.0</v>
      </c>
      <c r="B56" s="125" t="s">
        <v>332</v>
      </c>
      <c r="C56" s="125"/>
      <c r="D56" s="125">
        <v>-110.0</v>
      </c>
      <c r="E56" s="145"/>
      <c r="F56" s="126"/>
      <c r="G56" s="126"/>
      <c r="H56" s="126"/>
      <c r="I56" s="126"/>
      <c r="J56" s="126"/>
      <c r="K56" s="126"/>
      <c r="L56" s="126"/>
      <c r="M56" s="145" t="s">
        <v>72</v>
      </c>
      <c r="N56" s="125">
        <v>110.0</v>
      </c>
      <c r="O56" s="126"/>
      <c r="P56" s="126"/>
      <c r="Q56" s="126"/>
      <c r="R56" s="126"/>
      <c r="S56" s="126"/>
      <c r="T56" s="126"/>
      <c r="U56" s="126"/>
      <c r="V56" s="126"/>
      <c r="W56" s="126"/>
      <c r="X56" s="126"/>
      <c r="Y56" s="126"/>
      <c r="Z56" s="120">
        <f t="shared" si="1"/>
        <v>0</v>
      </c>
      <c r="AA56" s="122"/>
      <c r="AB56" s="122"/>
      <c r="AC56" s="122"/>
    </row>
    <row r="57">
      <c r="A57" s="153">
        <v>44253.0</v>
      </c>
      <c r="B57" s="125" t="s">
        <v>333</v>
      </c>
      <c r="C57" s="126">
        <f>-55835-63355</f>
        <v>-119190</v>
      </c>
      <c r="D57" s="126"/>
      <c r="E57" s="126"/>
      <c r="F57" s="126"/>
      <c r="G57" s="126"/>
      <c r="H57" s="126"/>
      <c r="I57" s="126"/>
      <c r="J57" s="126"/>
      <c r="K57" s="126"/>
      <c r="L57" s="126"/>
      <c r="M57" s="126"/>
      <c r="N57" s="126"/>
      <c r="O57" s="126"/>
      <c r="P57" s="126"/>
      <c r="Q57" s="126"/>
      <c r="R57" s="126"/>
      <c r="S57" s="126"/>
      <c r="T57" s="125">
        <v>-119190.0</v>
      </c>
      <c r="U57" s="126"/>
      <c r="V57" s="126"/>
      <c r="W57" s="126"/>
      <c r="X57" s="126"/>
      <c r="Y57" s="126"/>
      <c r="Z57" s="120">
        <f t="shared" si="1"/>
        <v>0</v>
      </c>
      <c r="AA57" s="122"/>
      <c r="AB57" s="122"/>
      <c r="AC57" s="122"/>
    </row>
    <row r="58">
      <c r="A58" s="153">
        <v>44253.0</v>
      </c>
      <c r="B58" s="125" t="s">
        <v>103</v>
      </c>
      <c r="C58" s="125">
        <v>-20000.0</v>
      </c>
      <c r="D58" s="125">
        <v>20000.0</v>
      </c>
      <c r="E58" s="126"/>
      <c r="F58" s="126"/>
      <c r="G58" s="126"/>
      <c r="H58" s="126"/>
      <c r="I58" s="126"/>
      <c r="J58" s="126"/>
      <c r="K58" s="126"/>
      <c r="L58" s="126"/>
      <c r="M58" s="126"/>
      <c r="N58" s="126"/>
      <c r="O58" s="126"/>
      <c r="P58" s="126"/>
      <c r="Q58" s="126"/>
      <c r="R58" s="126"/>
      <c r="S58" s="126"/>
      <c r="T58" s="126"/>
      <c r="U58" s="126"/>
      <c r="V58" s="126"/>
      <c r="W58" s="126"/>
      <c r="X58" s="126"/>
      <c r="Y58" s="126"/>
      <c r="Z58" s="120">
        <f t="shared" si="1"/>
        <v>0</v>
      </c>
      <c r="AA58" s="122"/>
      <c r="AB58" s="122"/>
      <c r="AC58" s="122"/>
    </row>
    <row r="59">
      <c r="A59" s="153" t="s">
        <v>334</v>
      </c>
      <c r="B59" s="125" t="s">
        <v>335</v>
      </c>
      <c r="C59" s="126"/>
      <c r="D59" s="126"/>
      <c r="E59" s="126"/>
      <c r="F59" s="126"/>
      <c r="G59" s="126"/>
      <c r="H59" s="126"/>
      <c r="I59" s="126"/>
      <c r="J59" s="126"/>
      <c r="K59" s="126"/>
      <c r="L59" s="125">
        <v>300.0</v>
      </c>
      <c r="M59" s="126"/>
      <c r="N59" s="126"/>
      <c r="O59" s="126"/>
      <c r="P59" s="126"/>
      <c r="Q59" s="126"/>
      <c r="R59" s="126"/>
      <c r="S59" s="126"/>
      <c r="T59" s="126"/>
      <c r="U59" s="125"/>
      <c r="V59" s="126"/>
      <c r="W59" s="126"/>
      <c r="X59" s="126"/>
      <c r="Y59" s="125">
        <v>300.0</v>
      </c>
      <c r="Z59" s="120">
        <f t="shared" si="1"/>
        <v>0</v>
      </c>
      <c r="AA59" s="122"/>
      <c r="AB59" s="122"/>
      <c r="AC59" s="122"/>
    </row>
    <row r="60">
      <c r="A60" s="163" t="s">
        <v>336</v>
      </c>
      <c r="B60" s="125" t="s">
        <v>337</v>
      </c>
      <c r="C60" s="164"/>
      <c r="D60" s="164"/>
      <c r="E60" s="164"/>
      <c r="F60" s="164"/>
      <c r="G60" s="164"/>
      <c r="H60" s="164"/>
      <c r="I60" s="164"/>
      <c r="J60" s="145">
        <v>167.0</v>
      </c>
      <c r="K60" s="164"/>
      <c r="L60" s="164"/>
      <c r="M60" s="165"/>
      <c r="N60" s="165"/>
      <c r="O60" s="164"/>
      <c r="P60" s="164"/>
      <c r="Q60" s="164"/>
      <c r="R60" s="164"/>
      <c r="S60" s="164"/>
      <c r="T60" s="164"/>
      <c r="U60" s="164"/>
      <c r="V60" s="164"/>
      <c r="W60" s="164"/>
      <c r="X60" s="164"/>
      <c r="Y60" s="145">
        <v>167.0</v>
      </c>
      <c r="Z60" s="120">
        <f t="shared" si="1"/>
        <v>0</v>
      </c>
    </row>
    <row r="61">
      <c r="A61" s="153" t="s">
        <v>336</v>
      </c>
      <c r="B61" s="125" t="s">
        <v>338</v>
      </c>
      <c r="C61" s="108"/>
      <c r="D61" s="125">
        <v>-10000.0</v>
      </c>
      <c r="E61" s="126"/>
      <c r="F61" s="126"/>
      <c r="G61" s="126"/>
      <c r="H61" s="126"/>
      <c r="I61" s="126"/>
      <c r="J61" s="126"/>
      <c r="K61" s="126"/>
      <c r="L61" s="126"/>
      <c r="M61" s="125" t="s">
        <v>72</v>
      </c>
      <c r="N61" s="126"/>
      <c r="O61" s="126"/>
      <c r="P61" s="126"/>
      <c r="Q61" s="125">
        <v>10000.0</v>
      </c>
      <c r="R61" s="126"/>
      <c r="S61" s="126"/>
      <c r="T61" s="126"/>
      <c r="U61" s="126"/>
      <c r="V61" s="126"/>
      <c r="W61" s="126"/>
      <c r="X61" s="126"/>
      <c r="Y61" s="126"/>
      <c r="Z61" s="120">
        <f t="shared" si="1"/>
        <v>0</v>
      </c>
      <c r="AA61" s="122"/>
      <c r="AB61" s="122"/>
      <c r="AC61" s="122"/>
    </row>
    <row r="62">
      <c r="A62" s="153" t="s">
        <v>336</v>
      </c>
      <c r="B62" s="125" t="s">
        <v>339</v>
      </c>
      <c r="C62" s="126"/>
      <c r="D62" s="126"/>
      <c r="E62" s="126"/>
      <c r="F62" s="126"/>
      <c r="G62" s="126">
        <f>-140*107</f>
        <v>-14980</v>
      </c>
      <c r="H62" s="126"/>
      <c r="I62" s="126"/>
      <c r="J62" s="126"/>
      <c r="K62" s="126"/>
      <c r="L62" s="126"/>
      <c r="M62" s="125" t="s">
        <v>72</v>
      </c>
      <c r="N62" s="126"/>
      <c r="O62" s="126"/>
      <c r="P62" s="126"/>
      <c r="Q62" s="125">
        <v>14980.0</v>
      </c>
      <c r="R62" s="126"/>
      <c r="S62" s="126"/>
      <c r="T62" s="126"/>
      <c r="U62" s="126"/>
      <c r="V62" s="126"/>
      <c r="W62" s="126"/>
      <c r="X62" s="126"/>
      <c r="Y62" s="126"/>
      <c r="Z62" s="120">
        <f t="shared" si="1"/>
        <v>0</v>
      </c>
      <c r="AA62" s="122"/>
      <c r="AB62" s="122"/>
      <c r="AC62" s="122"/>
    </row>
    <row r="63">
      <c r="A63" s="153" t="s">
        <v>336</v>
      </c>
      <c r="B63" s="125" t="s">
        <v>340</v>
      </c>
      <c r="C63" s="108"/>
      <c r="D63" s="126"/>
      <c r="E63" s="126"/>
      <c r="F63" s="126"/>
      <c r="G63" s="126"/>
      <c r="H63" s="125">
        <v>-3300.0</v>
      </c>
      <c r="I63" s="126"/>
      <c r="J63" s="126"/>
      <c r="K63" s="126"/>
      <c r="L63" s="126"/>
      <c r="M63" s="125" t="s">
        <v>81</v>
      </c>
      <c r="N63" s="126"/>
      <c r="O63" s="126"/>
      <c r="P63" s="126"/>
      <c r="Q63" s="125">
        <v>3300.0</v>
      </c>
      <c r="R63" s="126"/>
      <c r="S63" s="126"/>
      <c r="T63" s="126"/>
      <c r="U63" s="126"/>
      <c r="V63" s="126"/>
      <c r="W63" s="126"/>
      <c r="X63" s="126"/>
      <c r="Y63" s="126"/>
      <c r="Z63" s="120">
        <f t="shared" si="1"/>
        <v>0</v>
      </c>
      <c r="AA63" s="122"/>
      <c r="AB63" s="122"/>
      <c r="AC63" s="122"/>
    </row>
    <row r="64">
      <c r="A64" s="163" t="s">
        <v>336</v>
      </c>
      <c r="B64" s="145" t="s">
        <v>341</v>
      </c>
      <c r="C64" s="164"/>
      <c r="D64" s="164"/>
      <c r="E64" s="164"/>
      <c r="F64" s="164"/>
      <c r="G64" s="164"/>
      <c r="H64" s="164"/>
      <c r="I64" s="164"/>
      <c r="J64" s="164"/>
      <c r="K64" s="164"/>
      <c r="L64" s="145">
        <v>32.0</v>
      </c>
      <c r="M64" s="164"/>
      <c r="N64" s="164"/>
      <c r="O64" s="164"/>
      <c r="P64" s="164"/>
      <c r="Q64" s="164"/>
      <c r="R64" s="164"/>
      <c r="S64" s="164"/>
      <c r="T64" s="164"/>
      <c r="U64" s="164"/>
      <c r="V64" s="164"/>
      <c r="W64" s="164"/>
      <c r="X64" s="164"/>
      <c r="Y64" s="145">
        <v>32.0</v>
      </c>
      <c r="Z64" s="120">
        <f t="shared" si="1"/>
        <v>0</v>
      </c>
      <c r="AA64" s="122"/>
      <c r="AB64" s="122"/>
      <c r="AC64" s="122"/>
    </row>
    <row r="65">
      <c r="A65" s="163" t="s">
        <v>336</v>
      </c>
      <c r="B65" s="145" t="s">
        <v>342</v>
      </c>
      <c r="C65" s="164"/>
      <c r="D65" s="164"/>
      <c r="E65" s="164"/>
      <c r="F65" s="164"/>
      <c r="G65" s="164"/>
      <c r="H65" s="164"/>
      <c r="I65" s="164"/>
      <c r="J65" s="164"/>
      <c r="K65" s="164"/>
      <c r="L65" s="145">
        <v>89.0</v>
      </c>
      <c r="M65" s="164"/>
      <c r="N65" s="164"/>
      <c r="O65" s="164"/>
      <c r="P65" s="164"/>
      <c r="Q65" s="164"/>
      <c r="R65" s="164"/>
      <c r="S65" s="164"/>
      <c r="T65" s="164"/>
      <c r="U65" s="164"/>
      <c r="V65" s="164"/>
      <c r="W65" s="164"/>
      <c r="X65" s="164"/>
      <c r="Y65" s="145">
        <v>89.0</v>
      </c>
      <c r="Z65" s="120">
        <f t="shared" si="1"/>
        <v>0</v>
      </c>
      <c r="AA65" s="122"/>
      <c r="AB65" s="122"/>
      <c r="AC65" s="122"/>
    </row>
    <row r="66">
      <c r="A66" s="163" t="s">
        <v>336</v>
      </c>
      <c r="B66" s="145" t="s">
        <v>343</v>
      </c>
      <c r="C66" s="164"/>
      <c r="D66" s="164"/>
      <c r="E66" s="164"/>
      <c r="F66" s="164"/>
      <c r="G66" s="164"/>
      <c r="H66" s="164"/>
      <c r="I66" s="164"/>
      <c r="J66" s="164"/>
      <c r="K66" s="164"/>
      <c r="L66" s="145">
        <v>7.0</v>
      </c>
      <c r="M66" s="164"/>
      <c r="N66" s="164"/>
      <c r="O66" s="164"/>
      <c r="P66" s="164"/>
      <c r="Q66" s="164"/>
      <c r="R66" s="164"/>
      <c r="S66" s="164"/>
      <c r="T66" s="164"/>
      <c r="U66" s="164"/>
      <c r="V66" s="164"/>
      <c r="W66" s="164"/>
      <c r="X66" s="164"/>
      <c r="Y66" s="145">
        <v>7.0</v>
      </c>
      <c r="Z66" s="120">
        <f t="shared" si="1"/>
        <v>0</v>
      </c>
      <c r="AA66" s="122"/>
      <c r="AB66" s="122"/>
      <c r="AC66" s="122"/>
    </row>
    <row r="67">
      <c r="A67" s="163" t="s">
        <v>336</v>
      </c>
      <c r="B67" s="145" t="s">
        <v>344</v>
      </c>
      <c r="C67" s="164"/>
      <c r="D67" s="164"/>
      <c r="E67" s="164"/>
      <c r="F67" s="164"/>
      <c r="G67" s="164"/>
      <c r="H67" s="164"/>
      <c r="I67" s="164"/>
      <c r="J67" s="164"/>
      <c r="K67" s="164"/>
      <c r="L67" s="145">
        <v>89.0</v>
      </c>
      <c r="M67" s="164"/>
      <c r="N67" s="164"/>
      <c r="O67" s="164"/>
      <c r="P67" s="164"/>
      <c r="Q67" s="164"/>
      <c r="R67" s="164"/>
      <c r="S67" s="164"/>
      <c r="T67" s="164"/>
      <c r="U67" s="164"/>
      <c r="V67" s="164"/>
      <c r="W67" s="164"/>
      <c r="X67" s="164"/>
      <c r="Y67" s="145">
        <v>89.0</v>
      </c>
      <c r="Z67" s="120">
        <f t="shared" si="1"/>
        <v>0</v>
      </c>
      <c r="AA67" s="122"/>
      <c r="AB67" s="122"/>
      <c r="AC67" s="122"/>
    </row>
    <row r="68">
      <c r="A68" s="163" t="s">
        <v>336</v>
      </c>
      <c r="B68" s="145" t="s">
        <v>344</v>
      </c>
      <c r="C68" s="164"/>
      <c r="D68" s="164"/>
      <c r="E68" s="164"/>
      <c r="F68" s="164"/>
      <c r="G68" s="164"/>
      <c r="H68" s="164"/>
      <c r="I68" s="164"/>
      <c r="J68" s="164"/>
      <c r="K68" s="164"/>
      <c r="L68" s="145">
        <v>8.0</v>
      </c>
      <c r="M68" s="164"/>
      <c r="N68" s="164"/>
      <c r="O68" s="164"/>
      <c r="P68" s="164"/>
      <c r="Q68" s="164"/>
      <c r="R68" s="164"/>
      <c r="S68" s="164"/>
      <c r="T68" s="164"/>
      <c r="U68" s="164"/>
      <c r="V68" s="164"/>
      <c r="W68" s="164"/>
      <c r="X68" s="164"/>
      <c r="Y68" s="145">
        <v>8.0</v>
      </c>
      <c r="Z68" s="120">
        <f t="shared" si="1"/>
        <v>0</v>
      </c>
      <c r="AA68" s="122"/>
      <c r="AB68" s="122"/>
      <c r="AC68" s="122"/>
    </row>
    <row r="69">
      <c r="A69" s="163" t="s">
        <v>336</v>
      </c>
      <c r="B69" s="145" t="s">
        <v>341</v>
      </c>
      <c r="C69" s="164"/>
      <c r="D69" s="164"/>
      <c r="E69" s="164"/>
      <c r="F69" s="164"/>
      <c r="G69" s="164"/>
      <c r="H69" s="164"/>
      <c r="I69" s="164"/>
      <c r="J69" s="164"/>
      <c r="K69" s="164"/>
      <c r="L69" s="145">
        <v>89.0</v>
      </c>
      <c r="M69" s="164"/>
      <c r="N69" s="164"/>
      <c r="O69" s="164"/>
      <c r="P69" s="164"/>
      <c r="Q69" s="164"/>
      <c r="R69" s="164"/>
      <c r="S69" s="164"/>
      <c r="T69" s="164"/>
      <c r="U69" s="164"/>
      <c r="V69" s="164"/>
      <c r="W69" s="164"/>
      <c r="X69" s="164"/>
      <c r="Y69" s="145">
        <v>89.0</v>
      </c>
      <c r="Z69" s="120">
        <f t="shared" si="1"/>
        <v>0</v>
      </c>
      <c r="AA69" s="122"/>
      <c r="AB69" s="122"/>
      <c r="AC69" s="122"/>
    </row>
    <row r="70">
      <c r="A70" s="163" t="s">
        <v>336</v>
      </c>
      <c r="B70" s="145" t="s">
        <v>345</v>
      </c>
      <c r="C70" s="164"/>
      <c r="D70" s="164"/>
      <c r="E70" s="164"/>
      <c r="F70" s="164"/>
      <c r="G70" s="164"/>
      <c r="H70" s="164"/>
      <c r="I70" s="164"/>
      <c r="J70" s="164"/>
      <c r="K70" s="164"/>
      <c r="L70" s="145">
        <v>124.0</v>
      </c>
      <c r="M70" s="164"/>
      <c r="N70" s="164"/>
      <c r="O70" s="164"/>
      <c r="P70" s="164"/>
      <c r="Q70" s="164"/>
      <c r="R70" s="164"/>
      <c r="S70" s="164"/>
      <c r="T70" s="164"/>
      <c r="U70" s="164"/>
      <c r="V70" s="164"/>
      <c r="W70" s="164"/>
      <c r="X70" s="164"/>
      <c r="Y70" s="145">
        <v>124.0</v>
      </c>
      <c r="Z70" s="120">
        <f t="shared" si="1"/>
        <v>0</v>
      </c>
      <c r="AA70" s="122"/>
      <c r="AB70" s="122"/>
      <c r="AC70" s="122"/>
    </row>
    <row r="71">
      <c r="A71" s="163" t="s">
        <v>336</v>
      </c>
      <c r="B71" s="145" t="s">
        <v>346</v>
      </c>
      <c r="C71" s="164"/>
      <c r="D71" s="164"/>
      <c r="E71" s="164"/>
      <c r="F71" s="164"/>
      <c r="G71" s="164"/>
      <c r="H71" s="164"/>
      <c r="I71" s="164"/>
      <c r="J71" s="164"/>
      <c r="K71" s="164"/>
      <c r="L71" s="145">
        <v>189.0</v>
      </c>
      <c r="M71" s="164"/>
      <c r="N71" s="164"/>
      <c r="O71" s="164"/>
      <c r="P71" s="164"/>
      <c r="Q71" s="164"/>
      <c r="R71" s="164"/>
      <c r="S71" s="164"/>
      <c r="T71" s="164"/>
      <c r="U71" s="164"/>
      <c r="V71" s="164"/>
      <c r="W71" s="164"/>
      <c r="X71" s="164"/>
      <c r="Y71" s="145">
        <v>189.0</v>
      </c>
      <c r="Z71" s="120">
        <f t="shared" si="1"/>
        <v>0</v>
      </c>
      <c r="AA71" s="122"/>
      <c r="AB71" s="122"/>
      <c r="AC71" s="122"/>
    </row>
    <row r="72">
      <c r="A72" s="163" t="s">
        <v>336</v>
      </c>
      <c r="B72" s="145" t="s">
        <v>347</v>
      </c>
      <c r="C72" s="164"/>
      <c r="D72" s="164"/>
      <c r="E72" s="164"/>
      <c r="F72" s="164"/>
      <c r="G72" s="164"/>
      <c r="H72" s="164"/>
      <c r="I72" s="164"/>
      <c r="J72" s="164"/>
      <c r="K72" s="164"/>
      <c r="L72" s="145">
        <v>-10.0</v>
      </c>
      <c r="M72" s="145" t="s">
        <v>81</v>
      </c>
      <c r="N72" s="164"/>
      <c r="O72" s="164"/>
      <c r="P72" s="164"/>
      <c r="Q72" s="145">
        <v>10.0</v>
      </c>
      <c r="R72" s="164"/>
      <c r="S72" s="164"/>
      <c r="T72" s="164"/>
      <c r="U72" s="164"/>
      <c r="V72" s="164"/>
      <c r="W72" s="164"/>
      <c r="X72" s="164"/>
      <c r="Y72" s="164"/>
      <c r="Z72" s="120">
        <f t="shared" si="1"/>
        <v>0</v>
      </c>
      <c r="AA72" s="122"/>
      <c r="AB72" s="122"/>
      <c r="AC72" s="122"/>
    </row>
    <row r="73">
      <c r="A73" s="163" t="s">
        <v>336</v>
      </c>
      <c r="B73" s="145" t="s">
        <v>347</v>
      </c>
      <c r="C73" s="164"/>
      <c r="D73" s="164"/>
      <c r="E73" s="164"/>
      <c r="F73" s="164"/>
      <c r="G73" s="164"/>
      <c r="H73" s="164"/>
      <c r="I73" s="164"/>
      <c r="J73" s="164"/>
      <c r="K73" s="164"/>
      <c r="L73" s="145">
        <v>-50.0</v>
      </c>
      <c r="M73" s="145" t="s">
        <v>81</v>
      </c>
      <c r="N73" s="164"/>
      <c r="O73" s="164"/>
      <c r="P73" s="164"/>
      <c r="Q73" s="145">
        <v>50.0</v>
      </c>
      <c r="R73" s="164"/>
      <c r="S73" s="164"/>
      <c r="T73" s="164"/>
      <c r="U73" s="164"/>
      <c r="V73" s="164"/>
      <c r="W73" s="164"/>
      <c r="X73" s="164"/>
      <c r="Y73" s="164"/>
      <c r="Z73" s="120">
        <f t="shared" si="1"/>
        <v>0</v>
      </c>
      <c r="AA73" s="122"/>
      <c r="AB73" s="122"/>
      <c r="AC73" s="122"/>
    </row>
    <row r="74">
      <c r="A74" s="163" t="s">
        <v>336</v>
      </c>
      <c r="B74" s="145" t="s">
        <v>348</v>
      </c>
      <c r="C74" s="164"/>
      <c r="D74" s="164"/>
      <c r="E74" s="164"/>
      <c r="F74" s="164"/>
      <c r="G74" s="164"/>
      <c r="H74" s="164"/>
      <c r="I74" s="164"/>
      <c r="J74" s="164"/>
      <c r="K74" s="164"/>
      <c r="L74" s="145">
        <v>-86.0</v>
      </c>
      <c r="M74" s="145" t="s">
        <v>81</v>
      </c>
      <c r="N74" s="164"/>
      <c r="O74" s="164"/>
      <c r="P74" s="164"/>
      <c r="Q74" s="145">
        <v>86.0</v>
      </c>
      <c r="R74" s="164"/>
      <c r="S74" s="164"/>
      <c r="T74" s="164"/>
      <c r="U74" s="164"/>
      <c r="V74" s="164"/>
      <c r="W74" s="164"/>
      <c r="X74" s="164"/>
      <c r="Y74" s="164"/>
      <c r="Z74" s="120">
        <f t="shared" si="1"/>
        <v>0</v>
      </c>
      <c r="AA74" s="122"/>
      <c r="AB74" s="122"/>
      <c r="AC74" s="122"/>
    </row>
    <row r="75">
      <c r="A75" s="163" t="s">
        <v>336</v>
      </c>
      <c r="B75" s="145" t="s">
        <v>348</v>
      </c>
      <c r="C75" s="164"/>
      <c r="D75" s="164"/>
      <c r="E75" s="164"/>
      <c r="F75" s="164"/>
      <c r="G75" s="164"/>
      <c r="H75" s="164"/>
      <c r="I75" s="164"/>
      <c r="J75" s="164"/>
      <c r="K75" s="164"/>
      <c r="L75" s="145">
        <v>-500.0</v>
      </c>
      <c r="M75" s="145" t="s">
        <v>81</v>
      </c>
      <c r="N75" s="164"/>
      <c r="O75" s="164"/>
      <c r="P75" s="164"/>
      <c r="Q75" s="145">
        <v>500.0</v>
      </c>
      <c r="R75" s="164"/>
      <c r="S75" s="164"/>
      <c r="T75" s="164"/>
      <c r="U75" s="164"/>
      <c r="V75" s="164"/>
      <c r="W75" s="164"/>
      <c r="X75" s="164"/>
      <c r="Y75" s="164"/>
      <c r="Z75" s="120">
        <f t="shared" si="1"/>
        <v>0</v>
      </c>
      <c r="AA75" s="122"/>
      <c r="AB75" s="122"/>
      <c r="AC75" s="122"/>
    </row>
    <row r="76">
      <c r="A76" s="163" t="s">
        <v>336</v>
      </c>
      <c r="B76" s="145" t="s">
        <v>349</v>
      </c>
      <c r="C76" s="164"/>
      <c r="D76" s="164"/>
      <c r="E76" s="164"/>
      <c r="F76" s="164"/>
      <c r="G76" s="164"/>
      <c r="H76" s="164"/>
      <c r="I76" s="164"/>
      <c r="J76" s="164"/>
      <c r="K76" s="164"/>
      <c r="L76" s="145">
        <v>-19.0</v>
      </c>
      <c r="M76" s="145" t="s">
        <v>81</v>
      </c>
      <c r="N76" s="164"/>
      <c r="O76" s="164"/>
      <c r="P76" s="164"/>
      <c r="Q76" s="145">
        <v>19.0</v>
      </c>
      <c r="R76" s="164"/>
      <c r="S76" s="164"/>
      <c r="T76" s="164"/>
      <c r="U76" s="164"/>
      <c r="V76" s="164"/>
      <c r="W76" s="164"/>
      <c r="X76" s="164"/>
      <c r="Y76" s="164"/>
      <c r="Z76" s="120">
        <f t="shared" si="1"/>
        <v>0</v>
      </c>
      <c r="AA76" s="122"/>
      <c r="AB76" s="122"/>
      <c r="AC76" s="122"/>
    </row>
    <row r="77">
      <c r="A77" s="157">
        <v>99.0</v>
      </c>
      <c r="B77" s="125" t="s">
        <v>350</v>
      </c>
      <c r="C77" s="122"/>
      <c r="D77" s="122"/>
      <c r="E77" s="122"/>
      <c r="F77" s="122"/>
      <c r="G77" s="122"/>
      <c r="H77" s="122"/>
      <c r="I77" s="122"/>
      <c r="J77" s="122"/>
      <c r="K77" s="122"/>
      <c r="L77" s="122"/>
      <c r="M77" s="122"/>
      <c r="N77" s="122"/>
      <c r="O77" s="122"/>
      <c r="P77" s="122"/>
      <c r="Q77" s="122"/>
      <c r="R77" s="122"/>
      <c r="S77" s="122"/>
      <c r="T77" s="122"/>
      <c r="U77" s="124" t="s">
        <v>0</v>
      </c>
      <c r="V77" s="124">
        <v>-23453.0</v>
      </c>
      <c r="W77" s="122"/>
      <c r="X77" s="122"/>
      <c r="Y77" s="124">
        <v>23453.0</v>
      </c>
      <c r="Z77" s="120">
        <f t="shared" si="1"/>
        <v>0</v>
      </c>
      <c r="AA77" s="167"/>
      <c r="AB77" s="167"/>
      <c r="AC77" s="167"/>
    </row>
    <row r="78">
      <c r="A78" s="154"/>
      <c r="B78" s="126"/>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c r="AC78" s="122"/>
    </row>
    <row r="79">
      <c r="A79" s="154"/>
      <c r="B79" s="126"/>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row>
    <row r="80">
      <c r="A80" s="154"/>
      <c r="B80" s="126"/>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row>
    <row r="81">
      <c r="A81" s="154"/>
      <c r="B81" s="126"/>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2"/>
      <c r="AC81" s="122"/>
    </row>
    <row r="82">
      <c r="A82" s="154"/>
      <c r="B82" s="126"/>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c r="AC82" s="122"/>
    </row>
    <row r="83">
      <c r="A83" s="154"/>
      <c r="B83" s="126"/>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row>
    <row r="84">
      <c r="A84" s="154"/>
      <c r="B84" s="126"/>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row>
    <row r="85">
      <c r="A85" s="154"/>
      <c r="B85" s="126"/>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row>
    <row r="86">
      <c r="A86" s="154"/>
      <c r="B86" s="126"/>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row>
    <row r="87">
      <c r="A87" s="154"/>
      <c r="B87" s="126"/>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row>
    <row r="88">
      <c r="A88" s="154"/>
      <c r="B88" s="126"/>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row>
    <row r="89">
      <c r="A89" s="154"/>
      <c r="B89" s="126"/>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row>
    <row r="90">
      <c r="A90" s="154"/>
      <c r="B90" s="126"/>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row>
    <row r="91">
      <c r="A91" s="154"/>
      <c r="B91" s="126"/>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row>
    <row r="92">
      <c r="A92" s="154"/>
      <c r="B92" s="126"/>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row>
    <row r="93">
      <c r="A93" s="154"/>
      <c r="B93" s="126"/>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row>
    <row r="94">
      <c r="A94" s="154"/>
      <c r="B94" s="126"/>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row>
    <row r="95">
      <c r="A95" s="154"/>
      <c r="B95" s="126"/>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row>
    <row r="96">
      <c r="A96" s="154"/>
      <c r="B96" s="126"/>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row>
    <row r="97">
      <c r="A97" s="154"/>
      <c r="B97" s="126"/>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row>
    <row r="98">
      <c r="A98" s="154"/>
      <c r="B98" s="126"/>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row>
    <row r="99">
      <c r="A99" s="154"/>
      <c r="B99" s="126"/>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row>
    <row r="100">
      <c r="A100" s="154"/>
      <c r="B100" s="126"/>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row>
    <row r="101">
      <c r="A101" s="154"/>
      <c r="B101" s="126"/>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row>
    <row r="102">
      <c r="A102" s="154"/>
      <c r="B102" s="126"/>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row>
    <row r="103">
      <c r="A103" s="154"/>
      <c r="B103" s="126"/>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row>
    <row r="104">
      <c r="A104" s="154"/>
      <c r="B104" s="126"/>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row>
    <row r="105">
      <c r="A105" s="154"/>
      <c r="B105" s="126"/>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row>
    <row r="106">
      <c r="A106" s="154"/>
      <c r="B106" s="126"/>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row>
    <row r="107">
      <c r="A107" s="154"/>
      <c r="B107" s="126"/>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row>
    <row r="108">
      <c r="A108" s="154"/>
      <c r="B108" s="126"/>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row>
    <row r="109">
      <c r="A109" s="154"/>
      <c r="B109" s="126"/>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row>
    <row r="110">
      <c r="A110" s="154"/>
      <c r="B110" s="126"/>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row>
    <row r="111">
      <c r="A111" s="154"/>
      <c r="B111" s="126"/>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row>
    <row r="112">
      <c r="A112" s="154"/>
      <c r="B112" s="126"/>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row>
    <row r="113">
      <c r="A113" s="154"/>
      <c r="B113" s="126"/>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row>
    <row r="114">
      <c r="A114" s="154"/>
      <c r="B114" s="126"/>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row>
    <row r="115">
      <c r="A115" s="154"/>
      <c r="B115" s="126"/>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row>
    <row r="116">
      <c r="A116" s="154"/>
      <c r="B116" s="126"/>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row>
    <row r="117">
      <c r="A117" s="154"/>
      <c r="B117" s="126"/>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row>
    <row r="118">
      <c r="A118" s="154"/>
      <c r="B118" s="126"/>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row>
    <row r="119">
      <c r="A119" s="154"/>
      <c r="B119" s="126"/>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row>
    <row r="120">
      <c r="A120" s="154"/>
      <c r="B120" s="126"/>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row>
    <row r="121">
      <c r="A121" s="154"/>
      <c r="B121" s="126"/>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row>
    <row r="122">
      <c r="A122" s="154"/>
      <c r="B122" s="126"/>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row>
    <row r="123">
      <c r="A123" s="154"/>
      <c r="B123" s="126"/>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row>
    <row r="124">
      <c r="A124" s="154"/>
      <c r="B124" s="126"/>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row>
    <row r="125">
      <c r="A125" s="154"/>
      <c r="B125" s="126"/>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row>
    <row r="126">
      <c r="A126" s="154"/>
      <c r="B126" s="126"/>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row>
    <row r="127">
      <c r="A127" s="154"/>
      <c r="B127" s="126"/>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row>
    <row r="128">
      <c r="A128" s="154"/>
      <c r="B128" s="126"/>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row>
    <row r="129">
      <c r="A129" s="154"/>
      <c r="B129" s="126"/>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row>
    <row r="130">
      <c r="A130" s="154"/>
      <c r="B130" s="126"/>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row>
    <row r="131">
      <c r="A131" s="154"/>
      <c r="B131" s="126"/>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row>
    <row r="132">
      <c r="A132" s="154"/>
      <c r="B132" s="126"/>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row>
    <row r="133">
      <c r="A133" s="154"/>
      <c r="B133" s="126"/>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row>
    <row r="134">
      <c r="A134" s="154"/>
      <c r="B134" s="126"/>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row>
    <row r="135">
      <c r="A135" s="154"/>
      <c r="B135" s="126"/>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row>
    <row r="136">
      <c r="A136" s="154"/>
      <c r="B136" s="126"/>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row>
    <row r="137">
      <c r="A137" s="154"/>
      <c r="B137" s="126"/>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row>
    <row r="138">
      <c r="A138" s="154"/>
      <c r="B138" s="126"/>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row>
    <row r="139">
      <c r="A139" s="154"/>
      <c r="B139" s="126"/>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row>
    <row r="140">
      <c r="A140" s="154"/>
      <c r="B140" s="126"/>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row>
    <row r="141">
      <c r="A141" s="154"/>
      <c r="B141" s="126"/>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row>
    <row r="142">
      <c r="A142" s="154"/>
      <c r="B142" s="126"/>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row>
    <row r="143">
      <c r="A143" s="154"/>
      <c r="B143" s="126"/>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row>
    <row r="144">
      <c r="A144" s="154"/>
      <c r="B144" s="126"/>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row>
    <row r="145">
      <c r="A145" s="154"/>
      <c r="B145" s="126"/>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row>
    <row r="146">
      <c r="A146" s="154"/>
      <c r="B146" s="126"/>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row>
    <row r="147">
      <c r="A147" s="154"/>
      <c r="B147" s="126"/>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row>
    <row r="148">
      <c r="A148" s="154"/>
      <c r="B148" s="126"/>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row>
    <row r="149">
      <c r="A149" s="154"/>
      <c r="B149" s="126"/>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row>
    <row r="150">
      <c r="A150" s="154"/>
      <c r="B150" s="126"/>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row>
    <row r="151">
      <c r="A151" s="154"/>
      <c r="B151" s="126"/>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row>
    <row r="152">
      <c r="A152" s="154"/>
      <c r="B152" s="126"/>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row>
    <row r="153">
      <c r="A153" s="154"/>
      <c r="B153" s="126"/>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row>
    <row r="154">
      <c r="A154" s="154"/>
      <c r="B154" s="126"/>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row>
    <row r="155">
      <c r="A155" s="154"/>
      <c r="B155" s="126"/>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row>
    <row r="156">
      <c r="A156" s="154"/>
      <c r="B156" s="126"/>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row>
    <row r="157">
      <c r="A157" s="154"/>
      <c r="B157" s="126"/>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row>
    <row r="158">
      <c r="A158" s="154"/>
      <c r="B158" s="126"/>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row>
    <row r="159">
      <c r="A159" s="154"/>
      <c r="B159" s="126"/>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row>
    <row r="160">
      <c r="A160" s="154"/>
      <c r="B160" s="126"/>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row>
    <row r="161">
      <c r="A161" s="154"/>
      <c r="B161" s="126"/>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row>
    <row r="162">
      <c r="A162" s="154"/>
      <c r="B162" s="126"/>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row>
    <row r="163">
      <c r="A163" s="154"/>
      <c r="B163" s="126"/>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row>
    <row r="164">
      <c r="A164" s="154"/>
      <c r="B164" s="126"/>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row>
    <row r="165">
      <c r="A165" s="154"/>
      <c r="B165" s="126"/>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row>
    <row r="166">
      <c r="A166" s="154"/>
      <c r="B166" s="126"/>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row>
    <row r="167">
      <c r="A167" s="154"/>
      <c r="B167" s="126"/>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row>
    <row r="168">
      <c r="A168" s="154"/>
      <c r="B168" s="126"/>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row>
    <row r="169">
      <c r="A169" s="154"/>
      <c r="B169" s="126"/>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row>
    <row r="170">
      <c r="A170" s="154"/>
      <c r="B170" s="126"/>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row>
    <row r="171">
      <c r="A171" s="154"/>
      <c r="B171" s="126"/>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row>
    <row r="172">
      <c r="A172" s="154"/>
      <c r="B172" s="126"/>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row>
    <row r="173">
      <c r="A173" s="154"/>
      <c r="B173" s="126"/>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row>
    <row r="174">
      <c r="A174" s="154"/>
      <c r="B174" s="126"/>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row>
    <row r="175">
      <c r="A175" s="154"/>
      <c r="B175" s="126"/>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row>
    <row r="176">
      <c r="A176" s="154"/>
      <c r="B176" s="126"/>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row>
    <row r="177">
      <c r="A177" s="154"/>
      <c r="B177" s="126"/>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row>
    <row r="178">
      <c r="A178" s="154"/>
      <c r="B178" s="126"/>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row>
    <row r="179">
      <c r="A179" s="154"/>
      <c r="B179" s="126"/>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row>
    <row r="180">
      <c r="A180" s="154"/>
      <c r="B180" s="126"/>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row>
    <row r="181">
      <c r="A181" s="154"/>
      <c r="B181" s="126"/>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row>
    <row r="182">
      <c r="A182" s="154"/>
      <c r="B182" s="126"/>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row>
    <row r="183">
      <c r="A183" s="154"/>
      <c r="B183" s="126"/>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row>
    <row r="184">
      <c r="A184" s="154"/>
      <c r="B184" s="126"/>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row>
    <row r="185">
      <c r="A185" s="154"/>
      <c r="B185" s="126"/>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row>
    <row r="186">
      <c r="A186" s="154"/>
      <c r="B186" s="126"/>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row>
    <row r="187">
      <c r="A187" s="154"/>
      <c r="B187" s="126"/>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row>
    <row r="188">
      <c r="A188" s="154"/>
      <c r="B188" s="126"/>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row>
    <row r="189">
      <c r="A189" s="154"/>
      <c r="B189" s="126"/>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row>
    <row r="190">
      <c r="A190" s="154"/>
      <c r="B190" s="126"/>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row>
    <row r="191">
      <c r="A191" s="154"/>
      <c r="B191" s="126"/>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row>
    <row r="192">
      <c r="A192" s="154"/>
      <c r="B192" s="126"/>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row>
    <row r="193">
      <c r="A193" s="154"/>
      <c r="B193" s="126"/>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row>
    <row r="194">
      <c r="A194" s="154"/>
      <c r="B194" s="126"/>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row>
    <row r="195">
      <c r="A195" s="154"/>
      <c r="B195" s="126"/>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row>
    <row r="196">
      <c r="A196" s="154"/>
      <c r="B196" s="126"/>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row>
    <row r="197">
      <c r="A197" s="154"/>
      <c r="B197" s="126"/>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row>
    <row r="198">
      <c r="A198" s="154"/>
      <c r="B198" s="126"/>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row>
    <row r="199">
      <c r="A199" s="154"/>
      <c r="B199" s="126"/>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row>
    <row r="200">
      <c r="A200" s="154"/>
      <c r="B200" s="126"/>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row>
    <row r="201">
      <c r="A201" s="154"/>
      <c r="B201" s="126"/>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row>
    <row r="202">
      <c r="A202" s="154"/>
      <c r="B202" s="126"/>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row>
    <row r="203">
      <c r="A203" s="154"/>
      <c r="B203" s="126"/>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row>
    <row r="204">
      <c r="A204" s="154"/>
      <c r="B204" s="126"/>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row>
    <row r="205">
      <c r="A205" s="154"/>
      <c r="B205" s="126"/>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row>
    <row r="206">
      <c r="A206" s="154"/>
      <c r="B206" s="126"/>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row>
    <row r="207">
      <c r="A207" s="154"/>
      <c r="B207" s="126"/>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row>
    <row r="208">
      <c r="A208" s="154"/>
      <c r="B208" s="126"/>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row>
    <row r="209">
      <c r="A209" s="154"/>
      <c r="B209" s="126"/>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row>
    <row r="210">
      <c r="A210" s="154"/>
      <c r="B210" s="126"/>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row>
    <row r="211">
      <c r="A211" s="154"/>
      <c r="B211" s="126"/>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row>
    <row r="212">
      <c r="A212" s="154"/>
      <c r="B212" s="126"/>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row>
    <row r="213">
      <c r="A213" s="154"/>
      <c r="B213" s="126"/>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row>
    <row r="214">
      <c r="A214" s="154"/>
      <c r="B214" s="126"/>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row>
    <row r="215">
      <c r="A215" s="154"/>
      <c r="B215" s="126"/>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row>
    <row r="216">
      <c r="A216" s="154"/>
      <c r="B216" s="126"/>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row>
    <row r="217">
      <c r="A217" s="154"/>
      <c r="B217" s="126"/>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row>
    <row r="218">
      <c r="A218" s="154"/>
      <c r="B218" s="126"/>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row>
    <row r="219">
      <c r="A219" s="154"/>
      <c r="B219" s="126"/>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row>
    <row r="220">
      <c r="A220" s="154"/>
      <c r="B220" s="126"/>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row>
    <row r="221">
      <c r="A221" s="154"/>
      <c r="B221" s="126"/>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row>
    <row r="222">
      <c r="A222" s="154"/>
      <c r="B222" s="126"/>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row>
    <row r="223">
      <c r="A223" s="154"/>
      <c r="B223" s="126"/>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row>
    <row r="224">
      <c r="A224" s="154"/>
      <c r="B224" s="126"/>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row>
    <row r="225">
      <c r="A225" s="154"/>
      <c r="B225" s="126"/>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row>
    <row r="226">
      <c r="A226" s="154"/>
      <c r="B226" s="126"/>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row>
    <row r="227">
      <c r="A227" s="154"/>
      <c r="B227" s="126"/>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row>
    <row r="228">
      <c r="A228" s="154"/>
      <c r="B228" s="126"/>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row>
    <row r="229">
      <c r="A229" s="154"/>
      <c r="B229" s="126"/>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row>
    <row r="230">
      <c r="A230" s="154"/>
      <c r="B230" s="126"/>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row>
    <row r="231">
      <c r="A231" s="154"/>
      <c r="B231" s="126"/>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row>
    <row r="232">
      <c r="A232" s="154"/>
      <c r="B232" s="126"/>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row>
    <row r="233">
      <c r="A233" s="154"/>
      <c r="B233" s="126"/>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row>
    <row r="234">
      <c r="A234" s="154"/>
      <c r="B234" s="126"/>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row>
    <row r="235">
      <c r="A235" s="154"/>
      <c r="B235" s="126"/>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row>
    <row r="236">
      <c r="A236" s="154"/>
      <c r="B236" s="126"/>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row>
    <row r="237">
      <c r="A237" s="154"/>
      <c r="B237" s="126"/>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row>
    <row r="238">
      <c r="A238" s="154"/>
      <c r="B238" s="126"/>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row>
    <row r="239">
      <c r="A239" s="154"/>
      <c r="B239" s="126"/>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row>
    <row r="240">
      <c r="A240" s="154"/>
      <c r="B240" s="126"/>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row>
    <row r="241">
      <c r="A241" s="154"/>
      <c r="B241" s="126"/>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row>
    <row r="242">
      <c r="A242" s="154"/>
      <c r="B242" s="126"/>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row>
    <row r="243">
      <c r="A243" s="154"/>
      <c r="B243" s="126"/>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row>
    <row r="244">
      <c r="A244" s="154"/>
      <c r="B244" s="126"/>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row>
    <row r="245">
      <c r="A245" s="154"/>
      <c r="B245" s="126"/>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row>
    <row r="246">
      <c r="A246" s="154"/>
      <c r="B246" s="126"/>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row>
    <row r="247">
      <c r="A247" s="154"/>
      <c r="B247" s="126"/>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row>
    <row r="248">
      <c r="A248" s="154"/>
      <c r="B248" s="126"/>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row>
    <row r="249">
      <c r="A249" s="154"/>
      <c r="B249" s="126"/>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row>
    <row r="250">
      <c r="A250" s="154"/>
      <c r="B250" s="126"/>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row>
    <row r="251">
      <c r="A251" s="154"/>
      <c r="B251" s="126"/>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row>
    <row r="252">
      <c r="A252" s="154"/>
      <c r="B252" s="126"/>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row>
    <row r="253">
      <c r="A253" s="154"/>
      <c r="B253" s="126"/>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row>
    <row r="254">
      <c r="A254" s="154"/>
      <c r="B254" s="126"/>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row>
    <row r="255">
      <c r="A255" s="154"/>
      <c r="B255" s="126"/>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row>
    <row r="256">
      <c r="A256" s="154"/>
      <c r="B256" s="126"/>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row>
    <row r="257">
      <c r="A257" s="154"/>
      <c r="B257" s="126"/>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row>
    <row r="258">
      <c r="A258" s="154"/>
      <c r="B258" s="126"/>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row>
    <row r="259">
      <c r="A259" s="154"/>
      <c r="B259" s="126"/>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row>
    <row r="260">
      <c r="A260" s="154"/>
      <c r="B260" s="126"/>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row>
    <row r="261">
      <c r="A261" s="154"/>
      <c r="B261" s="126"/>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row>
    <row r="262">
      <c r="A262" s="154"/>
      <c r="B262" s="126"/>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row>
    <row r="263">
      <c r="A263" s="154"/>
      <c r="B263" s="126"/>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row>
    <row r="264">
      <c r="A264" s="154"/>
      <c r="B264" s="126"/>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row>
    <row r="265">
      <c r="A265" s="154"/>
      <c r="B265" s="126"/>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row>
    <row r="266">
      <c r="A266" s="154"/>
      <c r="B266" s="126"/>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row>
    <row r="267">
      <c r="A267" s="154"/>
      <c r="B267" s="126"/>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row>
    <row r="268">
      <c r="A268" s="154"/>
      <c r="B268" s="126"/>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row>
    <row r="269">
      <c r="A269" s="154"/>
      <c r="B269" s="126"/>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row>
    <row r="270">
      <c r="A270" s="154"/>
      <c r="B270" s="126"/>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row>
    <row r="271">
      <c r="A271" s="154"/>
      <c r="B271" s="126"/>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row>
    <row r="272">
      <c r="A272" s="154"/>
      <c r="B272" s="126"/>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row>
    <row r="273">
      <c r="A273" s="154"/>
      <c r="B273" s="126"/>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row>
    <row r="274">
      <c r="A274" s="154"/>
      <c r="B274" s="126"/>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row>
    <row r="275">
      <c r="A275" s="154"/>
      <c r="B275" s="126"/>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row>
    <row r="276">
      <c r="A276" s="154"/>
      <c r="B276" s="126"/>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row>
    <row r="277">
      <c r="A277" s="154"/>
      <c r="B277" s="126"/>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row>
    <row r="278">
      <c r="A278" s="154"/>
      <c r="B278" s="126"/>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row>
    <row r="279">
      <c r="A279" s="154"/>
      <c r="B279" s="126"/>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row>
    <row r="280">
      <c r="A280" s="154"/>
      <c r="B280" s="126"/>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row>
    <row r="281">
      <c r="A281" s="154"/>
      <c r="B281" s="126"/>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row>
    <row r="282">
      <c r="A282" s="154"/>
      <c r="B282" s="126"/>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row>
    <row r="283">
      <c r="A283" s="154"/>
      <c r="B283" s="126"/>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row>
    <row r="284">
      <c r="A284" s="154"/>
      <c r="B284" s="126"/>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row>
    <row r="285">
      <c r="A285" s="154"/>
      <c r="B285" s="126"/>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row>
    <row r="286">
      <c r="A286" s="154"/>
      <c r="B286" s="126"/>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row>
    <row r="287">
      <c r="A287" s="154"/>
      <c r="B287" s="126"/>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row>
    <row r="288">
      <c r="A288" s="154"/>
      <c r="B288" s="126"/>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row>
    <row r="289">
      <c r="A289" s="154"/>
      <c r="B289" s="126"/>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row>
    <row r="290">
      <c r="A290" s="154"/>
      <c r="B290" s="126"/>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row>
    <row r="291">
      <c r="A291" s="154"/>
      <c r="B291" s="126"/>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row>
    <row r="292">
      <c r="A292" s="154"/>
      <c r="B292" s="126"/>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row>
    <row r="293">
      <c r="A293" s="154"/>
      <c r="B293" s="126"/>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row>
    <row r="294">
      <c r="A294" s="154"/>
      <c r="B294" s="126"/>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row>
    <row r="295">
      <c r="A295" s="154"/>
      <c r="B295" s="126"/>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row>
    <row r="296">
      <c r="A296" s="154"/>
      <c r="B296" s="126"/>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row>
    <row r="297">
      <c r="A297" s="154"/>
      <c r="B297" s="126"/>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row>
    <row r="298">
      <c r="A298" s="154"/>
      <c r="B298" s="126"/>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row>
    <row r="299">
      <c r="A299" s="154"/>
      <c r="B299" s="126"/>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row>
    <row r="300">
      <c r="A300" s="154"/>
      <c r="B300" s="126"/>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row>
    <row r="301">
      <c r="A301" s="154"/>
      <c r="B301" s="126"/>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row>
    <row r="302">
      <c r="A302" s="154"/>
      <c r="B302" s="126"/>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row>
    <row r="303">
      <c r="A303" s="154"/>
      <c r="B303" s="126"/>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row>
    <row r="304">
      <c r="A304" s="154"/>
      <c r="B304" s="126"/>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row>
    <row r="305">
      <c r="A305" s="154"/>
      <c r="B305" s="126"/>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row>
    <row r="306">
      <c r="A306" s="154"/>
      <c r="B306" s="126"/>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row>
    <row r="307">
      <c r="A307" s="154"/>
      <c r="B307" s="126"/>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row>
    <row r="308">
      <c r="A308" s="154"/>
      <c r="B308" s="126"/>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row>
    <row r="309">
      <c r="A309" s="154"/>
      <c r="B309" s="126"/>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row>
    <row r="310">
      <c r="A310" s="154"/>
      <c r="B310" s="126"/>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row>
    <row r="311">
      <c r="A311" s="154"/>
      <c r="B311" s="126"/>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row>
    <row r="312">
      <c r="A312" s="154"/>
      <c r="B312" s="126"/>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row>
    <row r="313">
      <c r="A313" s="154"/>
      <c r="B313" s="126"/>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row>
    <row r="314">
      <c r="A314" s="154"/>
      <c r="B314" s="126"/>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row>
    <row r="315">
      <c r="A315" s="154"/>
      <c r="B315" s="126"/>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row>
    <row r="316">
      <c r="A316" s="154"/>
      <c r="B316" s="126"/>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row>
    <row r="317">
      <c r="A317" s="154"/>
      <c r="B317" s="126"/>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row>
    <row r="318">
      <c r="A318" s="154"/>
      <c r="B318" s="126"/>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row>
    <row r="319">
      <c r="A319" s="154"/>
      <c r="B319" s="126"/>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row>
    <row r="320">
      <c r="A320" s="154"/>
      <c r="B320" s="126"/>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row>
    <row r="321">
      <c r="A321" s="154"/>
      <c r="B321" s="126"/>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row>
    <row r="322">
      <c r="A322" s="154"/>
      <c r="B322" s="126"/>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row>
    <row r="323">
      <c r="A323" s="154"/>
      <c r="B323" s="126"/>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row>
    <row r="324">
      <c r="A324" s="154"/>
      <c r="B324" s="126"/>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row>
    <row r="325">
      <c r="A325" s="154"/>
      <c r="B325" s="126"/>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row>
    <row r="326">
      <c r="A326" s="154"/>
      <c r="B326" s="126"/>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row>
    <row r="327">
      <c r="A327" s="154"/>
      <c r="B327" s="126"/>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row>
    <row r="328">
      <c r="A328" s="154"/>
      <c r="B328" s="126"/>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row>
    <row r="329">
      <c r="A329" s="154"/>
      <c r="B329" s="126"/>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row>
    <row r="330">
      <c r="A330" s="154"/>
      <c r="B330" s="126"/>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row>
    <row r="331">
      <c r="A331" s="154"/>
      <c r="B331" s="126"/>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row>
    <row r="332">
      <c r="A332" s="154"/>
      <c r="B332" s="126"/>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row>
    <row r="333">
      <c r="A333" s="154"/>
      <c r="B333" s="126"/>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row>
    <row r="334">
      <c r="A334" s="154"/>
      <c r="B334" s="126"/>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row>
    <row r="335">
      <c r="A335" s="154"/>
      <c r="B335" s="126"/>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row>
    <row r="336">
      <c r="A336" s="154"/>
      <c r="B336" s="126"/>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row>
    <row r="337">
      <c r="A337" s="154"/>
      <c r="B337" s="126"/>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row>
    <row r="338">
      <c r="A338" s="154"/>
      <c r="B338" s="126"/>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row>
    <row r="339">
      <c r="A339" s="154"/>
      <c r="B339" s="126"/>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row>
    <row r="340">
      <c r="A340" s="154"/>
      <c r="B340" s="126"/>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row>
    <row r="341">
      <c r="A341" s="154"/>
      <c r="B341" s="126"/>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row>
    <row r="342">
      <c r="A342" s="154"/>
      <c r="B342" s="126"/>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row>
    <row r="343">
      <c r="A343" s="154"/>
      <c r="B343" s="126"/>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row>
    <row r="344">
      <c r="A344" s="154"/>
      <c r="B344" s="126"/>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row>
    <row r="345">
      <c r="A345" s="154"/>
      <c r="B345" s="126"/>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row>
    <row r="346">
      <c r="A346" s="154"/>
      <c r="B346" s="126"/>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row>
    <row r="347">
      <c r="A347" s="154"/>
      <c r="B347" s="126"/>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row>
    <row r="348">
      <c r="A348" s="154"/>
      <c r="B348" s="126"/>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row>
    <row r="349">
      <c r="A349" s="154"/>
      <c r="B349" s="126"/>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row>
    <row r="350">
      <c r="A350" s="154"/>
      <c r="B350" s="126"/>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row>
    <row r="351">
      <c r="A351" s="154"/>
      <c r="B351" s="126"/>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row>
    <row r="352">
      <c r="A352" s="154"/>
      <c r="B352" s="126"/>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row>
    <row r="353">
      <c r="A353" s="154"/>
      <c r="B353" s="126"/>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row>
    <row r="354">
      <c r="A354" s="154"/>
      <c r="B354" s="126"/>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row>
    <row r="355">
      <c r="A355" s="154"/>
      <c r="B355" s="126"/>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row>
    <row r="356">
      <c r="A356" s="154"/>
      <c r="B356" s="126"/>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row>
    <row r="357">
      <c r="A357" s="154"/>
      <c r="B357" s="126"/>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row>
    <row r="358">
      <c r="A358" s="154"/>
      <c r="B358" s="126"/>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row>
    <row r="359">
      <c r="A359" s="154"/>
      <c r="B359" s="126"/>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row>
    <row r="360">
      <c r="A360" s="154"/>
      <c r="B360" s="126"/>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row>
    <row r="361">
      <c r="A361" s="154"/>
      <c r="B361" s="126"/>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row>
    <row r="362">
      <c r="A362" s="154"/>
      <c r="B362" s="126"/>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row>
    <row r="363">
      <c r="A363" s="154"/>
      <c r="B363" s="126"/>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row>
    <row r="364">
      <c r="A364" s="154"/>
      <c r="B364" s="126"/>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row>
    <row r="365">
      <c r="A365" s="154"/>
      <c r="B365" s="126"/>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row>
    <row r="366">
      <c r="A366" s="154"/>
      <c r="B366" s="126"/>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row>
    <row r="367">
      <c r="A367" s="154"/>
      <c r="B367" s="126"/>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row>
    <row r="368">
      <c r="A368" s="154"/>
      <c r="B368" s="126"/>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row>
    <row r="369">
      <c r="A369" s="154"/>
      <c r="B369" s="126"/>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row>
    <row r="370">
      <c r="A370" s="154"/>
      <c r="B370" s="126"/>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row>
    <row r="371">
      <c r="A371" s="154"/>
      <c r="B371" s="126"/>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row>
    <row r="372">
      <c r="A372" s="154"/>
      <c r="B372" s="126"/>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row>
    <row r="373">
      <c r="A373" s="154"/>
      <c r="B373" s="126"/>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row>
    <row r="374">
      <c r="A374" s="154"/>
      <c r="B374" s="126"/>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row>
    <row r="375">
      <c r="A375" s="154"/>
      <c r="B375" s="126"/>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row>
    <row r="376">
      <c r="A376" s="154"/>
      <c r="B376" s="126"/>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row>
    <row r="377">
      <c r="A377" s="154"/>
      <c r="B377" s="126"/>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row>
    <row r="378">
      <c r="A378" s="154"/>
      <c r="B378" s="126"/>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row>
    <row r="379">
      <c r="A379" s="154"/>
      <c r="B379" s="126"/>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row>
    <row r="380">
      <c r="A380" s="154"/>
      <c r="B380" s="126"/>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row>
    <row r="381">
      <c r="A381" s="154"/>
      <c r="B381" s="126"/>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row>
    <row r="382">
      <c r="A382" s="154"/>
      <c r="B382" s="126"/>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row>
    <row r="383">
      <c r="A383" s="154"/>
      <c r="B383" s="126"/>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row>
    <row r="384">
      <c r="A384" s="154"/>
      <c r="B384" s="126"/>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row>
    <row r="385">
      <c r="A385" s="154"/>
      <c r="B385" s="126"/>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row>
    <row r="386">
      <c r="A386" s="154"/>
      <c r="B386" s="126"/>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row>
    <row r="387">
      <c r="A387" s="154"/>
      <c r="B387" s="126"/>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row>
    <row r="388">
      <c r="A388" s="154"/>
      <c r="B388" s="126"/>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row>
    <row r="389">
      <c r="A389" s="154"/>
      <c r="B389" s="126"/>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row>
    <row r="390">
      <c r="A390" s="154"/>
      <c r="B390" s="126"/>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row>
    <row r="391">
      <c r="A391" s="154"/>
      <c r="B391" s="126"/>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row>
    <row r="392">
      <c r="A392" s="154"/>
      <c r="B392" s="126"/>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row>
    <row r="393">
      <c r="A393" s="154"/>
      <c r="B393" s="126"/>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row>
    <row r="394">
      <c r="A394" s="154"/>
      <c r="B394" s="126"/>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row>
    <row r="395">
      <c r="A395" s="154"/>
      <c r="B395" s="126"/>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row>
    <row r="396">
      <c r="A396" s="154"/>
      <c r="B396" s="126"/>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row>
    <row r="397">
      <c r="A397" s="154"/>
      <c r="B397" s="126"/>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row>
    <row r="398">
      <c r="A398" s="154"/>
      <c r="B398" s="126"/>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row>
    <row r="399">
      <c r="A399" s="154"/>
      <c r="B399" s="126"/>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row>
    <row r="400">
      <c r="A400" s="154"/>
      <c r="B400" s="126"/>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row>
    <row r="401">
      <c r="A401" s="154"/>
      <c r="B401" s="126"/>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row>
    <row r="402">
      <c r="A402" s="154"/>
      <c r="B402" s="126"/>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row>
    <row r="403">
      <c r="A403" s="154"/>
      <c r="B403" s="126"/>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row>
    <row r="404">
      <c r="A404" s="154"/>
      <c r="B404" s="126"/>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row>
    <row r="405">
      <c r="A405" s="154"/>
      <c r="B405" s="126"/>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row>
    <row r="406">
      <c r="A406" s="154"/>
      <c r="B406" s="126"/>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row>
    <row r="407">
      <c r="A407" s="154"/>
      <c r="B407" s="126"/>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row>
    <row r="408">
      <c r="A408" s="154"/>
      <c r="B408" s="126"/>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row>
    <row r="409">
      <c r="A409" s="154"/>
      <c r="B409" s="126"/>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row>
    <row r="410">
      <c r="A410" s="154"/>
      <c r="B410" s="126"/>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row>
    <row r="411">
      <c r="A411" s="154"/>
      <c r="B411" s="126"/>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row>
    <row r="412">
      <c r="A412" s="154"/>
      <c r="B412" s="126"/>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row>
    <row r="413">
      <c r="A413" s="154"/>
      <c r="B413" s="126"/>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row>
    <row r="414">
      <c r="A414" s="154"/>
      <c r="B414" s="126"/>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row>
    <row r="415">
      <c r="A415" s="154"/>
      <c r="B415" s="126"/>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row>
    <row r="416">
      <c r="A416" s="154"/>
      <c r="B416" s="126"/>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row>
    <row r="417">
      <c r="A417" s="154"/>
      <c r="B417" s="126"/>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row>
    <row r="418">
      <c r="A418" s="154"/>
      <c r="B418" s="126"/>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row>
    <row r="419">
      <c r="A419" s="154"/>
      <c r="B419" s="126"/>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row>
    <row r="420">
      <c r="A420" s="154"/>
      <c r="B420" s="126"/>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row>
    <row r="421">
      <c r="A421" s="154"/>
      <c r="B421" s="126"/>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row>
    <row r="422">
      <c r="A422" s="154"/>
      <c r="B422" s="126"/>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row>
    <row r="423">
      <c r="A423" s="154"/>
      <c r="B423" s="126"/>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row>
    <row r="424">
      <c r="A424" s="154"/>
      <c r="B424" s="126"/>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row>
    <row r="425">
      <c r="A425" s="154"/>
      <c r="B425" s="126"/>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row>
    <row r="426">
      <c r="A426" s="154"/>
      <c r="B426" s="126"/>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row>
    <row r="427">
      <c r="A427" s="154"/>
      <c r="B427" s="126"/>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row>
    <row r="428">
      <c r="A428" s="154"/>
      <c r="B428" s="126"/>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row>
    <row r="429">
      <c r="A429" s="154"/>
      <c r="B429" s="126"/>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row>
    <row r="430">
      <c r="A430" s="154"/>
      <c r="B430" s="126"/>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row>
    <row r="431">
      <c r="A431" s="154"/>
      <c r="B431" s="126"/>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row>
    <row r="432">
      <c r="A432" s="154"/>
      <c r="B432" s="126"/>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row>
    <row r="433">
      <c r="A433" s="154"/>
      <c r="B433" s="126"/>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row>
    <row r="434">
      <c r="A434" s="154"/>
      <c r="B434" s="126"/>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row>
    <row r="435">
      <c r="A435" s="154"/>
      <c r="B435" s="126"/>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row>
    <row r="436">
      <c r="A436" s="154"/>
      <c r="B436" s="126"/>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row>
    <row r="437">
      <c r="A437" s="154"/>
      <c r="B437" s="126"/>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row>
    <row r="438">
      <c r="A438" s="154"/>
      <c r="B438" s="126"/>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row>
    <row r="439">
      <c r="A439" s="154"/>
      <c r="B439" s="126"/>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row>
    <row r="440">
      <c r="A440" s="154"/>
      <c r="B440" s="126"/>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row>
    <row r="441">
      <c r="A441" s="154"/>
      <c r="B441" s="126"/>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row>
    <row r="442">
      <c r="A442" s="154"/>
      <c r="B442" s="126"/>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row>
    <row r="443">
      <c r="A443" s="154"/>
      <c r="B443" s="126"/>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row>
    <row r="444">
      <c r="A444" s="154"/>
      <c r="B444" s="126"/>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row>
    <row r="445">
      <c r="A445" s="154"/>
      <c r="B445" s="126"/>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row>
    <row r="446">
      <c r="A446" s="154"/>
      <c r="B446" s="126"/>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row>
    <row r="447">
      <c r="A447" s="154"/>
      <c r="B447" s="126"/>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row>
    <row r="448">
      <c r="A448" s="154"/>
      <c r="B448" s="126"/>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row>
    <row r="449">
      <c r="A449" s="154"/>
      <c r="B449" s="126"/>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row>
    <row r="450">
      <c r="A450" s="154"/>
      <c r="B450" s="126"/>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row>
    <row r="451">
      <c r="A451" s="154"/>
      <c r="B451" s="126"/>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row>
    <row r="452">
      <c r="A452" s="154"/>
      <c r="B452" s="126"/>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row>
    <row r="453">
      <c r="A453" s="154"/>
      <c r="B453" s="126"/>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row>
    <row r="454">
      <c r="A454" s="154"/>
      <c r="B454" s="126"/>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row>
    <row r="455">
      <c r="A455" s="154"/>
      <c r="B455" s="126"/>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row>
    <row r="456">
      <c r="A456" s="154"/>
      <c r="B456" s="126"/>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row>
    <row r="457">
      <c r="A457" s="154"/>
      <c r="B457" s="126"/>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row>
    <row r="458">
      <c r="A458" s="154"/>
      <c r="B458" s="126"/>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row>
    <row r="459">
      <c r="A459" s="154"/>
      <c r="B459" s="126"/>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row>
    <row r="460">
      <c r="A460" s="154"/>
      <c r="B460" s="126"/>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row>
    <row r="461">
      <c r="A461" s="154"/>
      <c r="B461" s="126"/>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row>
    <row r="462">
      <c r="A462" s="154"/>
      <c r="B462" s="126"/>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row>
    <row r="463">
      <c r="A463" s="154"/>
      <c r="B463" s="126"/>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row>
    <row r="464">
      <c r="A464" s="154"/>
      <c r="B464" s="126"/>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row>
    <row r="465">
      <c r="A465" s="154"/>
      <c r="B465" s="126"/>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row>
    <row r="466">
      <c r="A466" s="154"/>
      <c r="B466" s="126"/>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row>
    <row r="467">
      <c r="A467" s="154"/>
      <c r="B467" s="126"/>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row>
    <row r="468">
      <c r="A468" s="154"/>
      <c r="B468" s="126"/>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row>
    <row r="469">
      <c r="A469" s="154"/>
      <c r="B469" s="126"/>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row>
    <row r="470">
      <c r="A470" s="154"/>
      <c r="B470" s="126"/>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row>
    <row r="471">
      <c r="A471" s="154"/>
      <c r="B471" s="126"/>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row>
    <row r="472">
      <c r="A472" s="154"/>
      <c r="B472" s="126"/>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row>
    <row r="473">
      <c r="A473" s="154"/>
      <c r="B473" s="126"/>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row>
    <row r="474">
      <c r="A474" s="154"/>
      <c r="B474" s="126"/>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row>
    <row r="475">
      <c r="A475" s="154"/>
      <c r="B475" s="126"/>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row>
    <row r="476">
      <c r="A476" s="154"/>
      <c r="B476" s="126"/>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row>
    <row r="477">
      <c r="A477" s="154"/>
      <c r="B477" s="126"/>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row>
    <row r="478">
      <c r="A478" s="154"/>
      <c r="B478" s="126"/>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row>
    <row r="479">
      <c r="A479" s="154"/>
      <c r="B479" s="126"/>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row>
    <row r="480">
      <c r="A480" s="154"/>
      <c r="B480" s="126"/>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row>
    <row r="481">
      <c r="A481" s="154"/>
      <c r="B481" s="126"/>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row>
    <row r="482">
      <c r="A482" s="154"/>
      <c r="B482" s="126"/>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row>
    <row r="483">
      <c r="A483" s="154"/>
      <c r="B483" s="126"/>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row>
    <row r="484">
      <c r="A484" s="154"/>
      <c r="B484" s="126"/>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row>
    <row r="485">
      <c r="A485" s="154"/>
      <c r="B485" s="126"/>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row>
    <row r="486">
      <c r="A486" s="154"/>
      <c r="B486" s="126"/>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row>
    <row r="487">
      <c r="A487" s="154"/>
      <c r="B487" s="126"/>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row>
    <row r="488">
      <c r="A488" s="154"/>
      <c r="B488" s="126"/>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row>
    <row r="489">
      <c r="A489" s="154"/>
      <c r="B489" s="126"/>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row>
    <row r="490">
      <c r="A490" s="154"/>
      <c r="B490" s="126"/>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row>
    <row r="491">
      <c r="A491" s="154"/>
      <c r="B491" s="126"/>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row>
    <row r="492">
      <c r="A492" s="154"/>
      <c r="B492" s="126"/>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row>
    <row r="493">
      <c r="A493" s="154"/>
      <c r="B493" s="126"/>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row>
    <row r="494">
      <c r="A494" s="154"/>
      <c r="B494" s="126"/>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row>
    <row r="495">
      <c r="A495" s="154"/>
      <c r="B495" s="126"/>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row>
    <row r="496">
      <c r="A496" s="154"/>
      <c r="B496" s="126"/>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row>
    <row r="497">
      <c r="A497" s="154"/>
      <c r="B497" s="126"/>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row>
    <row r="498">
      <c r="A498" s="154"/>
      <c r="B498" s="126"/>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row>
    <row r="499">
      <c r="A499" s="154"/>
      <c r="B499" s="126"/>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row>
    <row r="500">
      <c r="A500" s="154"/>
      <c r="B500" s="126"/>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row>
    <row r="501">
      <c r="A501" s="154"/>
      <c r="B501" s="126"/>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row>
    <row r="502">
      <c r="A502" s="154"/>
      <c r="B502" s="126"/>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row>
    <row r="503">
      <c r="A503" s="154"/>
      <c r="B503" s="126"/>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row>
    <row r="504">
      <c r="A504" s="154"/>
      <c r="B504" s="126"/>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row>
    <row r="505">
      <c r="A505" s="154"/>
      <c r="B505" s="126"/>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row>
    <row r="506">
      <c r="A506" s="154"/>
      <c r="B506" s="126"/>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row>
    <row r="507">
      <c r="A507" s="154"/>
      <c r="B507" s="126"/>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row>
    <row r="508">
      <c r="A508" s="154"/>
      <c r="B508" s="126"/>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row>
    <row r="509">
      <c r="A509" s="154"/>
      <c r="B509" s="126"/>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row>
    <row r="510">
      <c r="A510" s="154"/>
      <c r="B510" s="126"/>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row>
    <row r="511">
      <c r="A511" s="154"/>
      <c r="B511" s="126"/>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row>
    <row r="512">
      <c r="A512" s="154"/>
      <c r="B512" s="126"/>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row>
    <row r="513">
      <c r="A513" s="154"/>
      <c r="B513" s="126"/>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row>
    <row r="514">
      <c r="A514" s="154"/>
      <c r="B514" s="126"/>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row>
    <row r="515">
      <c r="A515" s="154"/>
      <c r="B515" s="126"/>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row>
    <row r="516">
      <c r="A516" s="154"/>
      <c r="B516" s="126"/>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row>
    <row r="517">
      <c r="A517" s="154"/>
      <c r="B517" s="126"/>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row>
    <row r="518">
      <c r="A518" s="154"/>
      <c r="B518" s="126"/>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row>
    <row r="519">
      <c r="A519" s="154"/>
      <c r="B519" s="126"/>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row>
    <row r="520">
      <c r="A520" s="154"/>
      <c r="B520" s="126"/>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row>
    <row r="521">
      <c r="A521" s="154"/>
      <c r="B521" s="126"/>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row>
    <row r="522">
      <c r="A522" s="154"/>
      <c r="B522" s="126"/>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row>
    <row r="523">
      <c r="A523" s="154"/>
      <c r="B523" s="126"/>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row>
    <row r="524">
      <c r="A524" s="154"/>
      <c r="B524" s="126"/>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row>
    <row r="525">
      <c r="A525" s="154"/>
      <c r="B525" s="126"/>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row>
    <row r="526">
      <c r="A526" s="154"/>
      <c r="B526" s="126"/>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row>
    <row r="527">
      <c r="A527" s="154"/>
      <c r="B527" s="126"/>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row>
    <row r="528">
      <c r="A528" s="154"/>
      <c r="B528" s="126"/>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row>
    <row r="529">
      <c r="A529" s="154"/>
      <c r="B529" s="126"/>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row>
    <row r="530">
      <c r="A530" s="154"/>
      <c r="B530" s="126"/>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row>
    <row r="531">
      <c r="A531" s="154"/>
      <c r="B531" s="126"/>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row>
    <row r="532">
      <c r="A532" s="154"/>
      <c r="B532" s="126"/>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row>
    <row r="533">
      <c r="A533" s="154"/>
      <c r="B533" s="126"/>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row>
    <row r="534">
      <c r="A534" s="154"/>
      <c r="B534" s="126"/>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row>
    <row r="535">
      <c r="A535" s="154"/>
      <c r="B535" s="126"/>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row>
    <row r="536">
      <c r="A536" s="154"/>
      <c r="B536" s="126"/>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row>
    <row r="537">
      <c r="A537" s="154"/>
      <c r="B537" s="126"/>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row>
    <row r="538">
      <c r="A538" s="154"/>
      <c r="B538" s="126"/>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row>
    <row r="539">
      <c r="A539" s="154"/>
      <c r="B539" s="126"/>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row>
    <row r="540">
      <c r="A540" s="154"/>
      <c r="B540" s="126"/>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row>
    <row r="541">
      <c r="A541" s="154"/>
      <c r="B541" s="126"/>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row>
    <row r="542">
      <c r="A542" s="154"/>
      <c r="B542" s="126"/>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row>
    <row r="543">
      <c r="A543" s="154"/>
      <c r="B543" s="126"/>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row>
    <row r="544">
      <c r="A544" s="154"/>
      <c r="B544" s="126"/>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row>
    <row r="545">
      <c r="A545" s="154"/>
      <c r="B545" s="126"/>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row>
    <row r="546">
      <c r="A546" s="154"/>
      <c r="B546" s="126"/>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row>
    <row r="547">
      <c r="A547" s="154"/>
      <c r="B547" s="126"/>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row>
    <row r="548">
      <c r="A548" s="154"/>
      <c r="B548" s="126"/>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row>
    <row r="549">
      <c r="A549" s="154"/>
      <c r="B549" s="126"/>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row>
    <row r="550">
      <c r="A550" s="154"/>
      <c r="B550" s="126"/>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row>
    <row r="551">
      <c r="A551" s="154"/>
      <c r="B551" s="126"/>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row>
    <row r="552">
      <c r="A552" s="154"/>
      <c r="B552" s="126"/>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row>
    <row r="553">
      <c r="A553" s="154"/>
      <c r="B553" s="126"/>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row>
    <row r="554">
      <c r="A554" s="154"/>
      <c r="B554" s="126"/>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row>
    <row r="555">
      <c r="A555" s="154"/>
      <c r="B555" s="126"/>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row>
    <row r="556">
      <c r="A556" s="154"/>
      <c r="B556" s="126"/>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row>
    <row r="557">
      <c r="A557" s="154"/>
      <c r="B557" s="126"/>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row>
    <row r="558">
      <c r="A558" s="154"/>
      <c r="B558" s="126"/>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row>
    <row r="559">
      <c r="A559" s="154"/>
      <c r="B559" s="126"/>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row>
    <row r="560">
      <c r="A560" s="154"/>
      <c r="B560" s="126"/>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row>
    <row r="561">
      <c r="A561" s="154"/>
      <c r="B561" s="126"/>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row>
    <row r="562">
      <c r="A562" s="154"/>
      <c r="B562" s="126"/>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row>
    <row r="563">
      <c r="A563" s="154"/>
      <c r="B563" s="126"/>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row>
    <row r="564">
      <c r="A564" s="154"/>
      <c r="B564" s="126"/>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row>
    <row r="565">
      <c r="A565" s="154"/>
      <c r="B565" s="126"/>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row>
    <row r="566">
      <c r="A566" s="154"/>
      <c r="B566" s="126"/>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row>
    <row r="567">
      <c r="A567" s="154"/>
      <c r="B567" s="126"/>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row>
    <row r="568">
      <c r="A568" s="154"/>
      <c r="B568" s="126"/>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row>
    <row r="569">
      <c r="A569" s="154"/>
      <c r="B569" s="126"/>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row>
    <row r="570">
      <c r="A570" s="154"/>
      <c r="B570" s="126"/>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row>
    <row r="571">
      <c r="A571" s="154"/>
      <c r="B571" s="126"/>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row>
    <row r="572">
      <c r="A572" s="154"/>
      <c r="B572" s="126"/>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row>
    <row r="573">
      <c r="A573" s="154"/>
      <c r="B573" s="126"/>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row>
    <row r="574">
      <c r="A574" s="154"/>
      <c r="B574" s="126"/>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row>
    <row r="575">
      <c r="A575" s="154"/>
      <c r="B575" s="126"/>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row>
    <row r="576">
      <c r="A576" s="154"/>
      <c r="B576" s="126"/>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row>
    <row r="577">
      <c r="A577" s="154"/>
      <c r="B577" s="126"/>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row>
    <row r="578">
      <c r="A578" s="154"/>
      <c r="B578" s="126"/>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row>
    <row r="579">
      <c r="A579" s="154"/>
      <c r="B579" s="126"/>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row>
    <row r="580">
      <c r="A580" s="154"/>
      <c r="B580" s="126"/>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row>
    <row r="581">
      <c r="A581" s="154"/>
      <c r="B581" s="126"/>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row>
    <row r="582">
      <c r="A582" s="154"/>
      <c r="B582" s="126"/>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row>
    <row r="583">
      <c r="A583" s="154"/>
      <c r="B583" s="126"/>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row>
    <row r="584">
      <c r="A584" s="154"/>
      <c r="B584" s="126"/>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row>
    <row r="585">
      <c r="A585" s="154"/>
      <c r="B585" s="126"/>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row>
    <row r="586">
      <c r="A586" s="154"/>
      <c r="B586" s="126"/>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row>
    <row r="587">
      <c r="A587" s="154"/>
      <c r="B587" s="126"/>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row>
    <row r="588">
      <c r="A588" s="154"/>
      <c r="B588" s="126"/>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row>
    <row r="589">
      <c r="A589" s="154"/>
      <c r="B589" s="126"/>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row>
    <row r="590">
      <c r="A590" s="154"/>
      <c r="B590" s="126"/>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row>
    <row r="591">
      <c r="A591" s="154"/>
      <c r="B591" s="126"/>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row>
    <row r="592">
      <c r="A592" s="154"/>
      <c r="B592" s="126"/>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row>
    <row r="593">
      <c r="A593" s="154"/>
      <c r="B593" s="126"/>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row>
    <row r="594">
      <c r="A594" s="154"/>
      <c r="B594" s="126"/>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row>
    <row r="595">
      <c r="A595" s="154"/>
      <c r="B595" s="126"/>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row>
    <row r="596">
      <c r="A596" s="154"/>
      <c r="B596" s="126"/>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row>
    <row r="597">
      <c r="A597" s="154"/>
      <c r="B597" s="126"/>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row>
    <row r="598">
      <c r="A598" s="154"/>
      <c r="B598" s="126"/>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row>
    <row r="599">
      <c r="A599" s="154"/>
      <c r="B599" s="126"/>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row>
    <row r="600">
      <c r="A600" s="154"/>
      <c r="B600" s="126"/>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row>
    <row r="601">
      <c r="A601" s="154"/>
      <c r="B601" s="126"/>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row>
    <row r="602">
      <c r="A602" s="154"/>
      <c r="B602" s="126"/>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row>
    <row r="603">
      <c r="A603" s="154"/>
      <c r="B603" s="126"/>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row>
    <row r="604">
      <c r="A604" s="154"/>
      <c r="B604" s="126"/>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row>
    <row r="605">
      <c r="A605" s="154"/>
      <c r="B605" s="126"/>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row>
    <row r="606">
      <c r="A606" s="154"/>
      <c r="B606" s="126"/>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row>
    <row r="607">
      <c r="A607" s="154"/>
      <c r="B607" s="126"/>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row>
    <row r="608">
      <c r="A608" s="154"/>
      <c r="B608" s="126"/>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row>
    <row r="609">
      <c r="A609" s="154"/>
      <c r="B609" s="126"/>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row>
    <row r="610">
      <c r="A610" s="154"/>
      <c r="B610" s="126"/>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row>
    <row r="611">
      <c r="A611" s="154"/>
      <c r="B611" s="126"/>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row>
    <row r="612">
      <c r="A612" s="154"/>
      <c r="B612" s="126"/>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row>
    <row r="613">
      <c r="A613" s="154"/>
      <c r="B613" s="126"/>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row>
    <row r="614">
      <c r="A614" s="154"/>
      <c r="B614" s="126"/>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row>
    <row r="615">
      <c r="A615" s="154"/>
      <c r="B615" s="126"/>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row>
    <row r="616">
      <c r="A616" s="154"/>
      <c r="B616" s="126"/>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row>
    <row r="617">
      <c r="A617" s="154"/>
      <c r="B617" s="126"/>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row>
    <row r="618">
      <c r="A618" s="154"/>
      <c r="B618" s="126"/>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row>
    <row r="619">
      <c r="A619" s="154"/>
      <c r="B619" s="126"/>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row>
    <row r="620">
      <c r="A620" s="154"/>
      <c r="B620" s="126"/>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row>
    <row r="621">
      <c r="A621" s="154"/>
      <c r="B621" s="126"/>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row>
    <row r="622">
      <c r="A622" s="154"/>
      <c r="B622" s="126"/>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row>
    <row r="623">
      <c r="A623" s="154"/>
      <c r="B623" s="126"/>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row>
    <row r="624">
      <c r="A624" s="154"/>
      <c r="B624" s="126"/>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row>
    <row r="625">
      <c r="A625" s="154"/>
      <c r="B625" s="126"/>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row>
    <row r="626">
      <c r="A626" s="154"/>
      <c r="B626" s="126"/>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row>
    <row r="627">
      <c r="A627" s="154"/>
      <c r="B627" s="126"/>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row>
    <row r="628">
      <c r="A628" s="154"/>
      <c r="B628" s="126"/>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row>
    <row r="629">
      <c r="A629" s="154"/>
      <c r="B629" s="126"/>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row>
    <row r="630">
      <c r="A630" s="154"/>
      <c r="B630" s="126"/>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row>
    <row r="631">
      <c r="A631" s="154"/>
      <c r="B631" s="126"/>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row>
    <row r="632">
      <c r="A632" s="154"/>
      <c r="B632" s="126"/>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row>
    <row r="633">
      <c r="A633" s="154"/>
      <c r="B633" s="126"/>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row>
    <row r="634">
      <c r="A634" s="154"/>
      <c r="B634" s="126"/>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row>
    <row r="635">
      <c r="A635" s="154"/>
      <c r="B635" s="126"/>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row>
    <row r="636">
      <c r="A636" s="154"/>
      <c r="B636" s="126"/>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row>
    <row r="637">
      <c r="A637" s="154"/>
      <c r="B637" s="126"/>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row>
    <row r="638">
      <c r="A638" s="154"/>
      <c r="B638" s="126"/>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row>
    <row r="639">
      <c r="A639" s="154"/>
      <c r="B639" s="126"/>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row>
    <row r="640">
      <c r="A640" s="154"/>
      <c r="B640" s="126"/>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row>
    <row r="641">
      <c r="A641" s="154"/>
      <c r="B641" s="126"/>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row>
    <row r="642">
      <c r="A642" s="154"/>
      <c r="B642" s="126"/>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row>
    <row r="643">
      <c r="A643" s="154"/>
      <c r="B643" s="126"/>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row>
    <row r="644">
      <c r="A644" s="154"/>
      <c r="B644" s="126"/>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row>
    <row r="645">
      <c r="A645" s="154"/>
      <c r="B645" s="126"/>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row>
    <row r="646">
      <c r="A646" s="154"/>
      <c r="B646" s="126"/>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row>
    <row r="647">
      <c r="A647" s="154"/>
      <c r="B647" s="126"/>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row>
    <row r="648">
      <c r="A648" s="154"/>
      <c r="B648" s="126"/>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row>
    <row r="649">
      <c r="A649" s="154"/>
      <c r="B649" s="126"/>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row>
    <row r="650">
      <c r="A650" s="154"/>
      <c r="B650" s="126"/>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row>
    <row r="651">
      <c r="A651" s="154"/>
      <c r="B651" s="126"/>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row>
    <row r="652">
      <c r="A652" s="154"/>
      <c r="B652" s="126"/>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row>
    <row r="653">
      <c r="A653" s="154"/>
      <c r="B653" s="126"/>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row>
    <row r="654">
      <c r="A654" s="154"/>
      <c r="B654" s="126"/>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row>
    <row r="655">
      <c r="A655" s="154"/>
      <c r="B655" s="126"/>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row>
    <row r="656">
      <c r="A656" s="154"/>
      <c r="B656" s="126"/>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row>
    <row r="657">
      <c r="A657" s="154"/>
      <c r="B657" s="126"/>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row>
    <row r="658">
      <c r="A658" s="154"/>
      <c r="B658" s="126"/>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row>
    <row r="659">
      <c r="A659" s="154"/>
      <c r="B659" s="126"/>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row>
    <row r="660">
      <c r="A660" s="154"/>
      <c r="B660" s="126"/>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row>
    <row r="661">
      <c r="A661" s="154"/>
      <c r="B661" s="126"/>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row>
    <row r="662">
      <c r="A662" s="154"/>
      <c r="B662" s="126"/>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row>
    <row r="663">
      <c r="A663" s="154"/>
      <c r="B663" s="126"/>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row>
    <row r="664">
      <c r="A664" s="154"/>
      <c r="B664" s="126"/>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row>
    <row r="665">
      <c r="A665" s="154"/>
      <c r="B665" s="126"/>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row>
    <row r="666">
      <c r="A666" s="154"/>
      <c r="B666" s="126"/>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row>
    <row r="667">
      <c r="A667" s="154"/>
      <c r="B667" s="126"/>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row>
    <row r="668">
      <c r="A668" s="154"/>
      <c r="B668" s="126"/>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row>
    <row r="669">
      <c r="A669" s="154"/>
      <c r="B669" s="126"/>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row>
    <row r="670">
      <c r="A670" s="154"/>
      <c r="B670" s="126"/>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row>
    <row r="671">
      <c r="A671" s="154"/>
      <c r="B671" s="126"/>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row>
    <row r="672">
      <c r="A672" s="154"/>
      <c r="B672" s="126"/>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row>
    <row r="673">
      <c r="A673" s="154"/>
      <c r="B673" s="126"/>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row>
    <row r="674">
      <c r="A674" s="154"/>
      <c r="B674" s="126"/>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row>
    <row r="675">
      <c r="A675" s="154"/>
      <c r="B675" s="126"/>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row>
    <row r="676">
      <c r="A676" s="154"/>
      <c r="B676" s="126"/>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row>
    <row r="677">
      <c r="A677" s="154"/>
      <c r="B677" s="126"/>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row>
    <row r="678">
      <c r="A678" s="154"/>
      <c r="B678" s="126"/>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row>
    <row r="679">
      <c r="A679" s="154"/>
      <c r="B679" s="126"/>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row>
    <row r="680">
      <c r="A680" s="154"/>
      <c r="B680" s="126"/>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row>
    <row r="681">
      <c r="A681" s="154"/>
      <c r="B681" s="126"/>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row>
    <row r="682">
      <c r="A682" s="154"/>
      <c r="B682" s="126"/>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row>
    <row r="683">
      <c r="A683" s="154"/>
      <c r="B683" s="126"/>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row>
    <row r="684">
      <c r="A684" s="154"/>
      <c r="B684" s="126"/>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row>
    <row r="685">
      <c r="A685" s="154"/>
      <c r="B685" s="126"/>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row>
    <row r="686">
      <c r="A686" s="154"/>
      <c r="B686" s="126"/>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row>
    <row r="687">
      <c r="A687" s="154"/>
      <c r="B687" s="126"/>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row>
    <row r="688">
      <c r="A688" s="154"/>
      <c r="B688" s="126"/>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row>
    <row r="689">
      <c r="A689" s="154"/>
      <c r="B689" s="126"/>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row>
    <row r="690">
      <c r="A690" s="154"/>
      <c r="B690" s="126"/>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row>
    <row r="691">
      <c r="A691" s="154"/>
      <c r="B691" s="126"/>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row>
    <row r="692">
      <c r="A692" s="154"/>
      <c r="B692" s="126"/>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row>
    <row r="693">
      <c r="A693" s="154"/>
      <c r="B693" s="126"/>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row>
    <row r="694">
      <c r="A694" s="154"/>
      <c r="B694" s="126"/>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row>
    <row r="695">
      <c r="A695" s="154"/>
      <c r="B695" s="126"/>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row>
    <row r="696">
      <c r="A696" s="154"/>
      <c r="B696" s="126"/>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row>
    <row r="697">
      <c r="A697" s="154"/>
      <c r="B697" s="126"/>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row>
    <row r="698">
      <c r="A698" s="154"/>
      <c r="B698" s="126"/>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row>
    <row r="699">
      <c r="A699" s="154"/>
      <c r="B699" s="126"/>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row>
    <row r="700">
      <c r="A700" s="154"/>
      <c r="B700" s="126"/>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row>
    <row r="701">
      <c r="A701" s="154"/>
      <c r="B701" s="126"/>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row>
    <row r="702">
      <c r="A702" s="154"/>
      <c r="B702" s="126"/>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row>
    <row r="703">
      <c r="A703" s="154"/>
      <c r="B703" s="126"/>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row>
    <row r="704">
      <c r="A704" s="154"/>
      <c r="B704" s="126"/>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row>
    <row r="705">
      <c r="A705" s="154"/>
      <c r="B705" s="126"/>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row>
    <row r="706">
      <c r="A706" s="154"/>
      <c r="B706" s="126"/>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row>
    <row r="707">
      <c r="A707" s="154"/>
      <c r="B707" s="126"/>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row>
    <row r="708">
      <c r="A708" s="154"/>
      <c r="B708" s="126"/>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row>
    <row r="709">
      <c r="A709" s="154"/>
      <c r="B709" s="126"/>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row>
    <row r="710">
      <c r="A710" s="154"/>
      <c r="B710" s="126"/>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row>
    <row r="711">
      <c r="A711" s="154"/>
      <c r="B711" s="126"/>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row>
    <row r="712">
      <c r="A712" s="154"/>
      <c r="B712" s="126"/>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row>
    <row r="713">
      <c r="A713" s="154"/>
      <c r="B713" s="126"/>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row>
    <row r="714">
      <c r="A714" s="154"/>
      <c r="B714" s="126"/>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row>
    <row r="715">
      <c r="A715" s="154"/>
      <c r="B715" s="126"/>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row>
    <row r="716">
      <c r="A716" s="154"/>
      <c r="B716" s="126"/>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row>
    <row r="717">
      <c r="A717" s="154"/>
      <c r="B717" s="126"/>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row>
    <row r="718">
      <c r="A718" s="154"/>
      <c r="B718" s="126"/>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row>
    <row r="719">
      <c r="A719" s="154"/>
      <c r="B719" s="126"/>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row>
    <row r="720">
      <c r="A720" s="154"/>
      <c r="B720" s="126"/>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row>
    <row r="721">
      <c r="A721" s="154"/>
      <c r="B721" s="126"/>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row>
    <row r="722">
      <c r="A722" s="154"/>
      <c r="B722" s="126"/>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row>
    <row r="723">
      <c r="A723" s="154"/>
      <c r="B723" s="126"/>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row>
    <row r="724">
      <c r="A724" s="154"/>
      <c r="B724" s="126"/>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row>
    <row r="725">
      <c r="A725" s="154"/>
      <c r="B725" s="126"/>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row>
    <row r="726">
      <c r="A726" s="154"/>
      <c r="B726" s="126"/>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row>
    <row r="727">
      <c r="A727" s="154"/>
      <c r="B727" s="126"/>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row>
    <row r="728">
      <c r="A728" s="154"/>
      <c r="B728" s="126"/>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row>
    <row r="729">
      <c r="A729" s="154"/>
      <c r="B729" s="126"/>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row>
    <row r="730">
      <c r="A730" s="154"/>
      <c r="B730" s="126"/>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row>
    <row r="731">
      <c r="A731" s="154"/>
      <c r="B731" s="126"/>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row>
    <row r="732">
      <c r="A732" s="154"/>
      <c r="B732" s="126"/>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row>
    <row r="733">
      <c r="A733" s="154"/>
      <c r="B733" s="126"/>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row>
    <row r="734">
      <c r="A734" s="154"/>
      <c r="B734" s="126"/>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row>
    <row r="735">
      <c r="A735" s="154"/>
      <c r="B735" s="126"/>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row>
    <row r="736">
      <c r="A736" s="154"/>
      <c r="B736" s="126"/>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row>
    <row r="737">
      <c r="A737" s="154"/>
      <c r="B737" s="126"/>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row>
    <row r="738">
      <c r="A738" s="154"/>
      <c r="B738" s="126"/>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row>
    <row r="739">
      <c r="A739" s="154"/>
      <c r="B739" s="126"/>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row>
    <row r="740">
      <c r="A740" s="154"/>
      <c r="B740" s="126"/>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row>
    <row r="741">
      <c r="A741" s="154"/>
      <c r="B741" s="126"/>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row>
    <row r="742">
      <c r="A742" s="154"/>
      <c r="B742" s="126"/>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row>
    <row r="743">
      <c r="A743" s="154"/>
      <c r="B743" s="126"/>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row>
    <row r="744">
      <c r="A744" s="154"/>
      <c r="B744" s="126"/>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row>
    <row r="745">
      <c r="A745" s="154"/>
      <c r="B745" s="126"/>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row>
    <row r="746">
      <c r="A746" s="154"/>
      <c r="B746" s="126"/>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row>
    <row r="747">
      <c r="A747" s="154"/>
      <c r="B747" s="126"/>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row>
    <row r="748">
      <c r="A748" s="154"/>
      <c r="B748" s="126"/>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row>
    <row r="749">
      <c r="A749" s="154"/>
      <c r="B749" s="126"/>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row>
    <row r="750">
      <c r="A750" s="154"/>
      <c r="B750" s="126"/>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row>
    <row r="751">
      <c r="A751" s="154"/>
      <c r="B751" s="126"/>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row>
    <row r="752">
      <c r="A752" s="154"/>
      <c r="B752" s="126"/>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row>
    <row r="753">
      <c r="A753" s="154"/>
      <c r="B753" s="126"/>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row>
    <row r="754">
      <c r="A754" s="154"/>
      <c r="B754" s="126"/>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row>
    <row r="755">
      <c r="A755" s="154"/>
      <c r="B755" s="126"/>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row>
    <row r="756">
      <c r="A756" s="154"/>
      <c r="B756" s="126"/>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row>
    <row r="757">
      <c r="A757" s="154"/>
      <c r="B757" s="126"/>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row>
    <row r="758">
      <c r="A758" s="154"/>
      <c r="B758" s="126"/>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row>
    <row r="759">
      <c r="A759" s="154"/>
      <c r="B759" s="126"/>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row>
    <row r="760">
      <c r="A760" s="154"/>
      <c r="B760" s="126"/>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row>
    <row r="761">
      <c r="A761" s="154"/>
      <c r="B761" s="126"/>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row>
    <row r="762">
      <c r="A762" s="154"/>
      <c r="B762" s="126"/>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row>
    <row r="763">
      <c r="A763" s="154"/>
      <c r="B763" s="126"/>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row>
    <row r="764">
      <c r="A764" s="154"/>
      <c r="B764" s="126"/>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row>
    <row r="765">
      <c r="A765" s="154"/>
      <c r="B765" s="126"/>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row>
    <row r="766">
      <c r="A766" s="154"/>
      <c r="B766" s="126"/>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row>
    <row r="767">
      <c r="A767" s="154"/>
      <c r="B767" s="126"/>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row>
    <row r="768">
      <c r="A768" s="154"/>
      <c r="B768" s="126"/>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row>
    <row r="769">
      <c r="A769" s="154"/>
      <c r="B769" s="126"/>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row>
    <row r="770">
      <c r="A770" s="154"/>
      <c r="B770" s="126"/>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row>
    <row r="771">
      <c r="A771" s="154"/>
      <c r="B771" s="126"/>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row>
    <row r="772">
      <c r="A772" s="154"/>
      <c r="B772" s="126"/>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row>
    <row r="773">
      <c r="A773" s="154"/>
      <c r="B773" s="126"/>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row>
    <row r="774">
      <c r="A774" s="154"/>
      <c r="B774" s="126"/>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row>
    <row r="775">
      <c r="A775" s="154"/>
      <c r="B775" s="126"/>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row>
    <row r="776">
      <c r="A776" s="154"/>
      <c r="B776" s="126"/>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row>
    <row r="777">
      <c r="A777" s="154"/>
      <c r="B777" s="126"/>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row>
    <row r="778">
      <c r="A778" s="154"/>
      <c r="B778" s="126"/>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row>
    <row r="779">
      <c r="A779" s="154"/>
      <c r="B779" s="126"/>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row>
    <row r="780">
      <c r="A780" s="154"/>
      <c r="B780" s="126"/>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row>
    <row r="781">
      <c r="A781" s="154"/>
      <c r="B781" s="126"/>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row>
    <row r="782">
      <c r="A782" s="154"/>
      <c r="B782" s="126"/>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row>
    <row r="783">
      <c r="A783" s="154"/>
      <c r="B783" s="126"/>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row>
    <row r="784">
      <c r="A784" s="154"/>
      <c r="B784" s="126"/>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row>
    <row r="785">
      <c r="A785" s="154"/>
      <c r="B785" s="126"/>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row>
    <row r="786">
      <c r="A786" s="154"/>
      <c r="B786" s="126"/>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row>
    <row r="787">
      <c r="A787" s="154"/>
      <c r="B787" s="126"/>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row>
    <row r="788">
      <c r="A788" s="154"/>
      <c r="B788" s="126"/>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row>
    <row r="789">
      <c r="A789" s="154"/>
      <c r="B789" s="126"/>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row>
    <row r="790">
      <c r="A790" s="154"/>
      <c r="B790" s="126"/>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row>
    <row r="791">
      <c r="A791" s="154"/>
      <c r="B791" s="126"/>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row>
    <row r="792">
      <c r="A792" s="154"/>
      <c r="B792" s="126"/>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row>
    <row r="793">
      <c r="A793" s="154"/>
      <c r="B793" s="126"/>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row>
    <row r="794">
      <c r="A794" s="154"/>
      <c r="B794" s="126"/>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row>
    <row r="795">
      <c r="A795" s="154"/>
      <c r="B795" s="126"/>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row>
    <row r="796">
      <c r="A796" s="154"/>
      <c r="B796" s="126"/>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row>
    <row r="797">
      <c r="A797" s="154"/>
      <c r="B797" s="126"/>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row>
    <row r="798">
      <c r="A798" s="154"/>
      <c r="B798" s="126"/>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row>
    <row r="799">
      <c r="A799" s="154"/>
      <c r="B799" s="126"/>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row>
    <row r="800">
      <c r="A800" s="154"/>
      <c r="B800" s="126"/>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row>
    <row r="801">
      <c r="A801" s="154"/>
      <c r="B801" s="126"/>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row>
    <row r="802">
      <c r="A802" s="154"/>
      <c r="B802" s="126"/>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row>
    <row r="803">
      <c r="A803" s="154"/>
      <c r="B803" s="126"/>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row>
    <row r="804">
      <c r="A804" s="154"/>
      <c r="B804" s="126"/>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row>
    <row r="805">
      <c r="A805" s="154"/>
      <c r="B805" s="126"/>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row>
    <row r="806">
      <c r="A806" s="154"/>
      <c r="B806" s="126"/>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row>
    <row r="807">
      <c r="A807" s="154"/>
      <c r="B807" s="126"/>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row>
    <row r="808">
      <c r="A808" s="154"/>
      <c r="B808" s="126"/>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row>
    <row r="809">
      <c r="A809" s="154"/>
      <c r="B809" s="126"/>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row>
    <row r="810">
      <c r="A810" s="154"/>
      <c r="B810" s="126"/>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row>
    <row r="811">
      <c r="A811" s="154"/>
      <c r="B811" s="126"/>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row>
    <row r="812">
      <c r="A812" s="154"/>
      <c r="B812" s="126"/>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row>
    <row r="813">
      <c r="A813" s="154"/>
      <c r="B813" s="126"/>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row>
    <row r="814">
      <c r="A814" s="154"/>
      <c r="B814" s="126"/>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row>
    <row r="815">
      <c r="A815" s="154"/>
      <c r="B815" s="126"/>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row>
    <row r="816">
      <c r="A816" s="154"/>
      <c r="B816" s="126"/>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row>
    <row r="817">
      <c r="A817" s="154"/>
      <c r="B817" s="126"/>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row>
    <row r="818">
      <c r="A818" s="154"/>
      <c r="B818" s="126"/>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row>
    <row r="819">
      <c r="A819" s="154"/>
      <c r="B819" s="126"/>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row>
    <row r="820">
      <c r="A820" s="154"/>
      <c r="B820" s="126"/>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row>
    <row r="821">
      <c r="A821" s="154"/>
      <c r="B821" s="126"/>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row>
    <row r="822">
      <c r="A822" s="154"/>
      <c r="B822" s="126"/>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row>
    <row r="823">
      <c r="A823" s="154"/>
      <c r="B823" s="126"/>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row>
    <row r="824">
      <c r="A824" s="154"/>
      <c r="B824" s="126"/>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row>
    <row r="825">
      <c r="A825" s="154"/>
      <c r="B825" s="126"/>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row>
    <row r="826">
      <c r="A826" s="154"/>
      <c r="B826" s="126"/>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row>
    <row r="827">
      <c r="A827" s="154"/>
      <c r="B827" s="126"/>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row>
    <row r="828">
      <c r="A828" s="154"/>
      <c r="B828" s="126"/>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row>
    <row r="829">
      <c r="A829" s="154"/>
      <c r="B829" s="126"/>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row>
    <row r="830">
      <c r="A830" s="154"/>
      <c r="B830" s="126"/>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row>
    <row r="831">
      <c r="A831" s="154"/>
      <c r="B831" s="126"/>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row>
    <row r="832">
      <c r="A832" s="154"/>
      <c r="B832" s="126"/>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row>
    <row r="833">
      <c r="A833" s="154"/>
      <c r="B833" s="126"/>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row>
    <row r="834">
      <c r="A834" s="154"/>
      <c r="B834" s="126"/>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row>
    <row r="835">
      <c r="A835" s="154"/>
      <c r="B835" s="126"/>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row>
    <row r="836">
      <c r="A836" s="154"/>
      <c r="B836" s="126"/>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row>
    <row r="837">
      <c r="A837" s="154"/>
      <c r="B837" s="126"/>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row>
    <row r="838">
      <c r="A838" s="154"/>
      <c r="B838" s="126"/>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row>
    <row r="839">
      <c r="A839" s="154"/>
      <c r="B839" s="126"/>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row>
    <row r="840">
      <c r="A840" s="154"/>
      <c r="B840" s="126"/>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row>
    <row r="841">
      <c r="A841" s="154"/>
      <c r="B841" s="126"/>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row>
    <row r="842">
      <c r="A842" s="154"/>
      <c r="B842" s="126"/>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row>
    <row r="843">
      <c r="A843" s="154"/>
      <c r="B843" s="126"/>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row>
    <row r="844">
      <c r="A844" s="154"/>
      <c r="B844" s="126"/>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row>
    <row r="845">
      <c r="A845" s="154"/>
      <c r="B845" s="126"/>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row>
    <row r="846">
      <c r="A846" s="154"/>
      <c r="B846" s="126"/>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row>
    <row r="847">
      <c r="A847" s="154"/>
      <c r="B847" s="126"/>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row>
    <row r="848">
      <c r="A848" s="154"/>
      <c r="B848" s="126"/>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row>
    <row r="849">
      <c r="A849" s="154"/>
      <c r="B849" s="126"/>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row>
    <row r="850">
      <c r="A850" s="154"/>
      <c r="B850" s="126"/>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row>
    <row r="851">
      <c r="A851" s="154"/>
      <c r="B851" s="126"/>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row>
    <row r="852">
      <c r="A852" s="154"/>
      <c r="B852" s="126"/>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row>
    <row r="853">
      <c r="A853" s="154"/>
      <c r="B853" s="126"/>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row>
    <row r="854">
      <c r="A854" s="154"/>
      <c r="B854" s="126"/>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row>
    <row r="855">
      <c r="A855" s="154"/>
      <c r="B855" s="126"/>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row>
    <row r="856">
      <c r="A856" s="154"/>
      <c r="B856" s="126"/>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row>
    <row r="857">
      <c r="A857" s="154"/>
      <c r="B857" s="126"/>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row>
    <row r="858">
      <c r="A858" s="154"/>
      <c r="B858" s="126"/>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row>
    <row r="859">
      <c r="A859" s="154"/>
      <c r="B859" s="126"/>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row>
    <row r="860">
      <c r="A860" s="154"/>
      <c r="B860" s="126"/>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row>
    <row r="861">
      <c r="A861" s="154"/>
      <c r="B861" s="126"/>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row>
    <row r="862">
      <c r="A862" s="154"/>
      <c r="B862" s="126"/>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row>
    <row r="863">
      <c r="A863" s="154"/>
      <c r="B863" s="126"/>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row>
    <row r="864">
      <c r="A864" s="154"/>
      <c r="B864" s="126"/>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row>
    <row r="865">
      <c r="A865" s="154"/>
      <c r="B865" s="126"/>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row>
    <row r="866">
      <c r="A866" s="154"/>
      <c r="B866" s="126"/>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row>
    <row r="867">
      <c r="A867" s="154"/>
      <c r="B867" s="126"/>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row>
    <row r="868">
      <c r="A868" s="154"/>
      <c r="B868" s="126"/>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row>
    <row r="869">
      <c r="A869" s="154"/>
      <c r="B869" s="126"/>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row>
    <row r="870">
      <c r="A870" s="154"/>
      <c r="B870" s="126"/>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row>
    <row r="871">
      <c r="A871" s="154"/>
      <c r="B871" s="126"/>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row>
    <row r="872">
      <c r="A872" s="154"/>
      <c r="B872" s="126"/>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row>
    <row r="873">
      <c r="A873" s="154"/>
      <c r="B873" s="126"/>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row>
    <row r="874">
      <c r="A874" s="154"/>
      <c r="B874" s="126"/>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row>
    <row r="875">
      <c r="A875" s="154"/>
      <c r="B875" s="126"/>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row>
    <row r="876">
      <c r="A876" s="154"/>
      <c r="B876" s="126"/>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row>
    <row r="877">
      <c r="A877" s="154"/>
      <c r="B877" s="126"/>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row>
    <row r="878">
      <c r="A878" s="154"/>
      <c r="B878" s="126"/>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row>
    <row r="879">
      <c r="A879" s="154"/>
      <c r="B879" s="126"/>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row>
    <row r="880">
      <c r="A880" s="154"/>
      <c r="B880" s="126"/>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row>
    <row r="881">
      <c r="A881" s="154"/>
      <c r="B881" s="126"/>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row>
    <row r="882">
      <c r="A882" s="154"/>
      <c r="B882" s="126"/>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row>
    <row r="883">
      <c r="A883" s="154"/>
      <c r="B883" s="126"/>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row>
    <row r="884">
      <c r="A884" s="154"/>
      <c r="B884" s="126"/>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row>
    <row r="885">
      <c r="A885" s="154"/>
      <c r="B885" s="126"/>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row>
    <row r="886">
      <c r="A886" s="154"/>
      <c r="B886" s="126"/>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row>
    <row r="887">
      <c r="A887" s="154"/>
      <c r="B887" s="126"/>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row>
    <row r="888">
      <c r="A888" s="154"/>
      <c r="B888" s="126"/>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row>
    <row r="889">
      <c r="A889" s="154"/>
      <c r="B889" s="126"/>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row>
    <row r="890">
      <c r="A890" s="154"/>
      <c r="B890" s="126"/>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row>
    <row r="891">
      <c r="A891" s="154"/>
      <c r="B891" s="126"/>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row>
    <row r="892">
      <c r="A892" s="154"/>
      <c r="B892" s="126"/>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row>
    <row r="893">
      <c r="A893" s="154"/>
      <c r="B893" s="126"/>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row>
    <row r="894">
      <c r="A894" s="154"/>
      <c r="B894" s="126"/>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row>
    <row r="895">
      <c r="A895" s="154"/>
      <c r="B895" s="126"/>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row>
    <row r="896">
      <c r="A896" s="154"/>
      <c r="B896" s="126"/>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row>
    <row r="897">
      <c r="A897" s="154"/>
      <c r="B897" s="126"/>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row>
    <row r="898">
      <c r="A898" s="154"/>
      <c r="B898" s="126"/>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row>
    <row r="899">
      <c r="A899" s="154"/>
      <c r="B899" s="126"/>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row>
    <row r="900">
      <c r="A900" s="154"/>
      <c r="B900" s="126"/>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row>
    <row r="901">
      <c r="A901" s="154"/>
      <c r="B901" s="126"/>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row>
    <row r="902">
      <c r="A902" s="154"/>
      <c r="B902" s="126"/>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row>
    <row r="903">
      <c r="A903" s="154"/>
      <c r="B903" s="126"/>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row>
    <row r="904">
      <c r="A904" s="154"/>
      <c r="B904" s="126"/>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row>
    <row r="905">
      <c r="A905" s="154"/>
      <c r="B905" s="126"/>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row>
    <row r="906">
      <c r="A906" s="154"/>
      <c r="B906" s="126"/>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row>
    <row r="907">
      <c r="A907" s="154"/>
      <c r="B907" s="126"/>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row>
    <row r="908">
      <c r="A908" s="154"/>
      <c r="B908" s="126"/>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row>
    <row r="909">
      <c r="A909" s="154"/>
      <c r="B909" s="126"/>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row>
    <row r="910">
      <c r="A910" s="154"/>
      <c r="B910" s="126"/>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row>
    <row r="911">
      <c r="A911" s="154"/>
      <c r="B911" s="126"/>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row>
    <row r="912">
      <c r="A912" s="154"/>
      <c r="B912" s="126"/>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row>
    <row r="913">
      <c r="A913" s="154"/>
      <c r="B913" s="126"/>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row>
    <row r="914">
      <c r="A914" s="154"/>
      <c r="B914" s="126"/>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row>
    <row r="915">
      <c r="A915" s="154"/>
      <c r="B915" s="126"/>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row>
    <row r="916">
      <c r="A916" s="154"/>
      <c r="B916" s="126"/>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row>
    <row r="917">
      <c r="A917" s="154"/>
      <c r="B917" s="126"/>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row>
    <row r="918">
      <c r="A918" s="154"/>
      <c r="B918" s="126"/>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row>
    <row r="919">
      <c r="A919" s="154"/>
      <c r="B919" s="126"/>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row>
    <row r="920">
      <c r="A920" s="154"/>
      <c r="B920" s="126"/>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row>
    <row r="921">
      <c r="A921" s="154"/>
      <c r="B921" s="126"/>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row>
    <row r="922">
      <c r="A922" s="154"/>
      <c r="B922" s="126"/>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row>
    <row r="923">
      <c r="A923" s="154"/>
      <c r="B923" s="126"/>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row>
    <row r="924">
      <c r="A924" s="154"/>
      <c r="B924" s="126"/>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row>
    <row r="925">
      <c r="A925" s="154"/>
      <c r="B925" s="126"/>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row>
    <row r="926">
      <c r="A926" s="154"/>
      <c r="B926" s="126"/>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row>
    <row r="927">
      <c r="A927" s="154"/>
      <c r="B927" s="126"/>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row>
    <row r="928">
      <c r="A928" s="154"/>
      <c r="B928" s="126"/>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row>
    <row r="929">
      <c r="A929" s="154"/>
      <c r="B929" s="126"/>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row>
    <row r="930">
      <c r="A930" s="154"/>
      <c r="B930" s="126"/>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row>
    <row r="931">
      <c r="A931" s="154"/>
      <c r="B931" s="126"/>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row>
    <row r="932">
      <c r="A932" s="154"/>
      <c r="B932" s="126"/>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row>
    <row r="933">
      <c r="A933" s="154"/>
      <c r="B933" s="126"/>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row>
    <row r="934">
      <c r="A934" s="154"/>
      <c r="B934" s="126"/>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row>
    <row r="935">
      <c r="A935" s="154"/>
      <c r="B935" s="126"/>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row>
    <row r="936">
      <c r="A936" s="154"/>
      <c r="B936" s="126"/>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row>
    <row r="937">
      <c r="A937" s="154"/>
      <c r="B937" s="126"/>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row>
    <row r="938">
      <c r="A938" s="154"/>
      <c r="B938" s="126"/>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row>
    <row r="939">
      <c r="A939" s="154"/>
      <c r="B939" s="126"/>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row>
    <row r="940">
      <c r="A940" s="154"/>
      <c r="B940" s="126"/>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row>
    <row r="941">
      <c r="A941" s="154"/>
      <c r="B941" s="126"/>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row>
    <row r="942">
      <c r="A942" s="154"/>
      <c r="B942" s="126"/>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row>
    <row r="943">
      <c r="A943" s="154"/>
      <c r="B943" s="126"/>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row>
    <row r="944">
      <c r="A944" s="154"/>
      <c r="B944" s="126"/>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row>
    <row r="945">
      <c r="A945" s="154"/>
      <c r="B945" s="126"/>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row>
    <row r="946">
      <c r="A946" s="154"/>
      <c r="B946" s="126"/>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row>
    <row r="947">
      <c r="A947" s="154"/>
      <c r="B947" s="126"/>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row>
    <row r="948">
      <c r="A948" s="154"/>
      <c r="B948" s="126"/>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row>
    <row r="949">
      <c r="A949" s="154"/>
      <c r="B949" s="126"/>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row>
    <row r="950">
      <c r="A950" s="154"/>
      <c r="B950" s="126"/>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row>
    <row r="951">
      <c r="A951" s="154"/>
      <c r="B951" s="126"/>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row>
    <row r="952">
      <c r="A952" s="154"/>
      <c r="B952" s="126"/>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row>
    <row r="953">
      <c r="A953" s="154"/>
      <c r="B953" s="126"/>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row>
    <row r="954">
      <c r="A954" s="154"/>
      <c r="B954" s="126"/>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row>
    <row r="955">
      <c r="A955" s="154"/>
      <c r="B955" s="126"/>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row>
    <row r="956">
      <c r="A956" s="154"/>
      <c r="B956" s="126"/>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row>
    <row r="957">
      <c r="A957" s="154"/>
      <c r="B957" s="126"/>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row>
    <row r="958">
      <c r="A958" s="154"/>
      <c r="B958" s="126"/>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row>
    <row r="959">
      <c r="A959" s="154"/>
      <c r="B959" s="126"/>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row>
    <row r="960">
      <c r="A960" s="154"/>
      <c r="B960" s="126"/>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row>
    <row r="961">
      <c r="A961" s="154"/>
      <c r="B961" s="126"/>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row>
    <row r="962">
      <c r="A962" s="154"/>
      <c r="B962" s="126"/>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2"/>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63"/>
    <col customWidth="1" min="2" max="2" width="18.88"/>
    <col customWidth="1" min="3" max="26" width="7.63"/>
    <col customWidth="1" min="27" max="27" width="15.88"/>
    <col customWidth="1" min="28" max="28" width="7.63"/>
  </cols>
  <sheetData>
    <row r="1">
      <c r="A1" s="113"/>
      <c r="B1" s="161" t="s">
        <v>58</v>
      </c>
      <c r="C1" s="30" t="s">
        <v>5</v>
      </c>
      <c r="D1" s="31"/>
      <c r="E1" s="31"/>
      <c r="F1" s="30"/>
      <c r="G1" s="30"/>
      <c r="H1" s="30"/>
      <c r="I1" s="30"/>
      <c r="J1" s="31"/>
      <c r="K1" s="31"/>
      <c r="L1" s="31"/>
      <c r="M1" s="30" t="s">
        <v>6</v>
      </c>
      <c r="N1" s="33"/>
      <c r="O1" s="33"/>
      <c r="P1" s="33"/>
      <c r="Q1" s="31"/>
      <c r="R1" s="30" t="s">
        <v>7</v>
      </c>
      <c r="S1" s="31"/>
      <c r="T1" s="30"/>
      <c r="U1" s="31"/>
      <c r="V1" s="31"/>
      <c r="W1" s="30" t="s">
        <v>8</v>
      </c>
      <c r="X1" s="31"/>
      <c r="Y1" s="31"/>
      <c r="Z1" s="112" t="s">
        <v>59</v>
      </c>
      <c r="AA1" s="113"/>
      <c r="AB1" s="113"/>
      <c r="AC1" s="113"/>
    </row>
    <row r="2">
      <c r="A2" s="113"/>
      <c r="B2" s="24" t="s">
        <v>30</v>
      </c>
      <c r="C2" s="115" t="s">
        <v>11</v>
      </c>
      <c r="D2" s="115" t="s">
        <v>12</v>
      </c>
      <c r="E2" s="114" t="s">
        <v>13</v>
      </c>
      <c r="F2" s="114" t="s">
        <v>14</v>
      </c>
      <c r="G2" s="114" t="s">
        <v>15</v>
      </c>
      <c r="H2" s="114" t="s">
        <v>16</v>
      </c>
      <c r="I2" s="114" t="s">
        <v>17</v>
      </c>
      <c r="J2" s="115" t="s">
        <v>18</v>
      </c>
      <c r="K2" s="114" t="s">
        <v>19</v>
      </c>
      <c r="L2" s="115" t="s">
        <v>20</v>
      </c>
      <c r="M2" s="114" t="s">
        <v>62</v>
      </c>
      <c r="N2" s="114" t="s">
        <v>63</v>
      </c>
      <c r="O2" s="114" t="s">
        <v>64</v>
      </c>
      <c r="P2" s="114" t="s">
        <v>65</v>
      </c>
      <c r="Q2" s="114" t="s">
        <v>66</v>
      </c>
      <c r="R2" s="114" t="s">
        <v>68</v>
      </c>
      <c r="S2" s="114" t="s">
        <v>27</v>
      </c>
      <c r="T2" s="115" t="s">
        <v>28</v>
      </c>
      <c r="U2" s="114" t="s">
        <v>299</v>
      </c>
      <c r="V2" s="114" t="s">
        <v>69</v>
      </c>
      <c r="W2" s="114" t="s">
        <v>29</v>
      </c>
      <c r="X2" s="114" t="s">
        <v>19</v>
      </c>
      <c r="Y2" s="114" t="s">
        <v>8</v>
      </c>
      <c r="Z2" s="116" t="s">
        <v>30</v>
      </c>
      <c r="AA2" s="113"/>
      <c r="AB2" s="113"/>
      <c r="AC2" s="113"/>
    </row>
    <row r="3">
      <c r="A3" s="157">
        <v>99.0</v>
      </c>
      <c r="B3" s="125" t="s">
        <v>351</v>
      </c>
      <c r="C3" s="122"/>
      <c r="D3" s="122"/>
      <c r="E3" s="122"/>
      <c r="F3" s="122"/>
      <c r="G3" s="122"/>
      <c r="H3" s="122"/>
      <c r="I3" s="122"/>
      <c r="J3" s="122">
        <f>-10000*16</f>
        <v>-160000</v>
      </c>
      <c r="K3" s="122"/>
      <c r="L3" s="122"/>
      <c r="M3" s="122"/>
      <c r="N3" s="122"/>
      <c r="O3" s="122"/>
      <c r="P3" s="122"/>
      <c r="Q3" s="122"/>
      <c r="R3" s="122"/>
      <c r="S3" s="122"/>
      <c r="T3" s="122"/>
      <c r="U3" s="124" t="s">
        <v>0</v>
      </c>
      <c r="V3" s="122">
        <f>-10000*16</f>
        <v>-160000</v>
      </c>
      <c r="W3" s="122"/>
      <c r="X3" s="122"/>
      <c r="Y3" s="122"/>
      <c r="Z3" s="120">
        <f t="shared" ref="Z3:Z70" si="1">sum(C3:L3,N3:Q3)-sum(R3:Y3)</f>
        <v>0</v>
      </c>
      <c r="AA3" s="122"/>
      <c r="AB3" s="122"/>
      <c r="AC3" s="122"/>
    </row>
    <row r="4">
      <c r="A4" s="168">
        <v>25.0</v>
      </c>
      <c r="B4" s="169" t="s">
        <v>352</v>
      </c>
      <c r="C4" s="34"/>
      <c r="D4" s="34"/>
      <c r="E4" s="122"/>
      <c r="F4" s="122"/>
      <c r="G4" s="122"/>
      <c r="H4" s="122"/>
      <c r="I4" s="122"/>
      <c r="J4" s="122">
        <f>-2957.5*16</f>
        <v>-47320</v>
      </c>
      <c r="K4" s="122"/>
      <c r="L4" s="122"/>
      <c r="M4" s="124" t="s">
        <v>81</v>
      </c>
      <c r="N4" s="122"/>
      <c r="O4" s="122"/>
      <c r="P4" s="122"/>
      <c r="Q4" s="122">
        <f>2957.5*16</f>
        <v>47320</v>
      </c>
      <c r="R4" s="122"/>
      <c r="S4" s="122"/>
      <c r="T4" s="122"/>
      <c r="U4" s="122"/>
      <c r="V4" s="122"/>
      <c r="W4" s="122"/>
      <c r="X4" s="122"/>
      <c r="Y4" s="122"/>
      <c r="Z4" s="120">
        <f t="shared" si="1"/>
        <v>0</v>
      </c>
      <c r="AA4" s="122"/>
      <c r="AB4" s="122"/>
      <c r="AC4" s="122"/>
    </row>
    <row r="5">
      <c r="A5" s="157">
        <v>11.0</v>
      </c>
      <c r="B5" s="125" t="s">
        <v>353</v>
      </c>
      <c r="C5" s="122"/>
      <c r="D5" s="122"/>
      <c r="E5" s="122"/>
      <c r="F5" s="122"/>
      <c r="G5" s="122"/>
      <c r="H5" s="122"/>
      <c r="I5" s="122"/>
      <c r="J5" s="124">
        <f>-2000*16</f>
        <v>-32000</v>
      </c>
      <c r="K5" s="122">
        <f>2000*16</f>
        <v>32000</v>
      </c>
      <c r="L5" s="122"/>
      <c r="M5" s="122"/>
      <c r="N5" s="122"/>
      <c r="O5" s="122"/>
      <c r="P5" s="122"/>
      <c r="Q5" s="122"/>
      <c r="R5" s="122"/>
      <c r="S5" s="122"/>
      <c r="T5" s="122"/>
      <c r="U5" s="122"/>
      <c r="V5" s="122"/>
      <c r="W5" s="122"/>
      <c r="X5" s="122"/>
      <c r="Y5" s="122"/>
      <c r="Z5" s="120">
        <f t="shared" si="1"/>
        <v>0</v>
      </c>
      <c r="AA5" s="122"/>
      <c r="AB5" s="122"/>
      <c r="AC5" s="122"/>
    </row>
    <row r="6">
      <c r="A6" s="157">
        <v>10.0</v>
      </c>
      <c r="B6" s="125" t="s">
        <v>354</v>
      </c>
      <c r="C6" s="122"/>
      <c r="D6" s="122"/>
      <c r="E6" s="122"/>
      <c r="F6" s="122"/>
      <c r="G6" s="122"/>
      <c r="H6" s="122"/>
      <c r="I6" s="122"/>
      <c r="J6" s="122">
        <f>-47*16</f>
        <v>-752</v>
      </c>
      <c r="K6" s="122"/>
      <c r="L6" s="122"/>
      <c r="M6" s="122"/>
      <c r="N6" s="122"/>
      <c r="O6" s="122"/>
      <c r="P6" s="122"/>
      <c r="Q6" s="122"/>
      <c r="R6" s="122"/>
      <c r="S6" s="122">
        <f>-47*16</f>
        <v>-752</v>
      </c>
      <c r="T6" s="122"/>
      <c r="U6" s="122"/>
      <c r="V6" s="122"/>
      <c r="W6" s="122"/>
      <c r="X6" s="122"/>
      <c r="Y6" s="122"/>
      <c r="Z6" s="120">
        <f t="shared" si="1"/>
        <v>0</v>
      </c>
      <c r="AA6" s="122"/>
      <c r="AB6" s="122"/>
      <c r="AC6" s="122"/>
    </row>
    <row r="7">
      <c r="A7" s="157">
        <v>99.0</v>
      </c>
      <c r="B7" s="125" t="s">
        <v>337</v>
      </c>
      <c r="C7" s="122"/>
      <c r="D7" s="122"/>
      <c r="E7" s="122"/>
      <c r="F7" s="122"/>
      <c r="G7" s="122"/>
      <c r="H7" s="122"/>
      <c r="I7" s="122"/>
      <c r="J7" s="122">
        <f>9*16</f>
        <v>144</v>
      </c>
      <c r="K7" s="122"/>
      <c r="L7" s="122"/>
      <c r="M7" s="122"/>
      <c r="N7" s="122"/>
      <c r="O7" s="122"/>
      <c r="P7" s="122"/>
      <c r="Q7" s="122"/>
      <c r="R7" s="122"/>
      <c r="S7" s="122"/>
      <c r="T7" s="122"/>
      <c r="U7" s="122"/>
      <c r="V7" s="122"/>
      <c r="W7" s="122"/>
      <c r="X7" s="122"/>
      <c r="Y7" s="122">
        <f>9*16</f>
        <v>144</v>
      </c>
      <c r="Z7" s="120">
        <f t="shared" si="1"/>
        <v>0</v>
      </c>
      <c r="AA7" s="122"/>
      <c r="AB7" s="122"/>
      <c r="AC7" s="122"/>
    </row>
    <row r="8">
      <c r="A8" s="157">
        <v>19.0</v>
      </c>
      <c r="B8" s="125" t="s">
        <v>355</v>
      </c>
      <c r="C8" s="122"/>
      <c r="D8" s="122"/>
      <c r="E8" s="122"/>
      <c r="F8" s="122"/>
      <c r="G8" s="122"/>
      <c r="H8" s="122"/>
      <c r="I8" s="122"/>
      <c r="J8" s="122">
        <f>54*16</f>
        <v>864</v>
      </c>
      <c r="K8" s="122"/>
      <c r="L8" s="122"/>
      <c r="M8" s="122"/>
      <c r="N8" s="122"/>
      <c r="O8" s="122"/>
      <c r="P8" s="122"/>
      <c r="Q8" s="122"/>
      <c r="R8" s="122"/>
      <c r="S8" s="122"/>
      <c r="T8" s="122"/>
      <c r="U8" s="122"/>
      <c r="V8" s="122"/>
      <c r="W8" s="122"/>
      <c r="X8" s="122">
        <f>54*16</f>
        <v>864</v>
      </c>
      <c r="Y8" s="122"/>
      <c r="Z8" s="120">
        <f t="shared" si="1"/>
        <v>0</v>
      </c>
      <c r="AA8" s="122"/>
      <c r="AB8" s="122"/>
      <c r="AC8" s="122"/>
    </row>
    <row r="9">
      <c r="A9" s="157">
        <v>20.0</v>
      </c>
      <c r="B9" s="169" t="s">
        <v>356</v>
      </c>
      <c r="C9" s="34"/>
      <c r="D9" s="34"/>
      <c r="E9" s="170"/>
      <c r="F9" s="122"/>
      <c r="G9" s="122"/>
      <c r="H9" s="122"/>
      <c r="I9" s="122"/>
      <c r="J9" s="122">
        <f>169*16</f>
        <v>2704</v>
      </c>
      <c r="K9" s="122"/>
      <c r="L9" s="122"/>
      <c r="M9" s="122"/>
      <c r="N9" s="122"/>
      <c r="O9" s="122"/>
      <c r="P9" s="122"/>
      <c r="Q9" s="122"/>
      <c r="R9" s="122"/>
      <c r="S9" s="122"/>
      <c r="T9" s="122"/>
      <c r="U9" s="122"/>
      <c r="V9" s="122"/>
      <c r="W9" s="122"/>
      <c r="X9" s="122"/>
      <c r="Y9" s="122">
        <f>169*16</f>
        <v>2704</v>
      </c>
      <c r="Z9" s="120">
        <f t="shared" si="1"/>
        <v>0</v>
      </c>
      <c r="AA9" s="122"/>
      <c r="AB9" s="122"/>
      <c r="AC9" s="122"/>
    </row>
    <row r="10">
      <c r="A10" s="157">
        <v>28.0</v>
      </c>
      <c r="B10" s="125" t="s">
        <v>357</v>
      </c>
      <c r="C10" s="122"/>
      <c r="D10" s="122"/>
      <c r="E10" s="122"/>
      <c r="F10" s="122"/>
      <c r="G10" s="122"/>
      <c r="H10" s="122"/>
      <c r="I10" s="122"/>
      <c r="J10" s="122">
        <f>-1000*16</f>
        <v>-16000</v>
      </c>
      <c r="K10" s="122"/>
      <c r="L10" s="122"/>
      <c r="M10" s="122"/>
      <c r="N10" s="122"/>
      <c r="O10" s="122"/>
      <c r="P10" s="122"/>
      <c r="Q10" s="122"/>
      <c r="R10" s="122"/>
      <c r="S10" s="122"/>
      <c r="T10" s="122"/>
      <c r="U10" s="124" t="s">
        <v>304</v>
      </c>
      <c r="V10" s="122">
        <f>-1000*16</f>
        <v>-16000</v>
      </c>
      <c r="W10" s="122"/>
      <c r="X10" s="122"/>
      <c r="Y10" s="122"/>
      <c r="Z10" s="120">
        <f t="shared" si="1"/>
        <v>0</v>
      </c>
      <c r="AA10" s="122"/>
      <c r="AB10" s="122"/>
      <c r="AC10" s="122"/>
    </row>
    <row r="11">
      <c r="A11" s="157">
        <v>21.0</v>
      </c>
      <c r="B11" s="125" t="s">
        <v>358</v>
      </c>
      <c r="C11" s="122"/>
      <c r="D11" s="122"/>
      <c r="E11" s="124"/>
      <c r="F11" s="122"/>
      <c r="G11" s="122"/>
      <c r="H11" s="122"/>
      <c r="I11" s="122"/>
      <c r="J11" s="122">
        <f>1323*16</f>
        <v>21168</v>
      </c>
      <c r="K11" s="122">
        <f>-1323*16</f>
        <v>-21168</v>
      </c>
      <c r="L11" s="122"/>
      <c r="M11" s="122"/>
      <c r="N11" s="122"/>
      <c r="O11" s="122"/>
      <c r="P11" s="122"/>
      <c r="Q11" s="122"/>
      <c r="R11" s="122"/>
      <c r="S11" s="122"/>
      <c r="T11" s="122"/>
      <c r="U11" s="122"/>
      <c r="V11" s="122"/>
      <c r="W11" s="122"/>
      <c r="X11" s="122"/>
      <c r="Y11" s="122"/>
      <c r="Z11" s="120">
        <f t="shared" si="1"/>
        <v>0</v>
      </c>
      <c r="AA11" s="122"/>
      <c r="AB11" s="122"/>
      <c r="AC11" s="122"/>
    </row>
    <row r="12">
      <c r="A12" s="168">
        <v>21.0</v>
      </c>
      <c r="B12" s="169" t="s">
        <v>358</v>
      </c>
      <c r="C12" s="34"/>
      <c r="D12" s="34"/>
      <c r="E12" s="122"/>
      <c r="F12" s="122"/>
      <c r="G12" s="122"/>
      <c r="H12" s="122"/>
      <c r="I12" s="122"/>
      <c r="J12" s="34">
        <f>1836*16</f>
        <v>29376</v>
      </c>
      <c r="K12" s="122">
        <f>-1836*16</f>
        <v>-29376</v>
      </c>
      <c r="L12" s="122"/>
      <c r="M12" s="122"/>
      <c r="N12" s="122"/>
      <c r="O12" s="122"/>
      <c r="P12" s="122"/>
      <c r="Q12" s="122"/>
      <c r="R12" s="122"/>
      <c r="S12" s="122"/>
      <c r="T12" s="122"/>
      <c r="U12" s="122"/>
      <c r="V12" s="122"/>
      <c r="W12" s="122"/>
      <c r="X12" s="122"/>
      <c r="Y12" s="122"/>
      <c r="Z12" s="120">
        <f t="shared" si="1"/>
        <v>0</v>
      </c>
      <c r="AA12" s="122"/>
      <c r="AB12" s="122"/>
      <c r="AC12" s="122"/>
    </row>
    <row r="13">
      <c r="A13" s="157">
        <v>26.0</v>
      </c>
      <c r="B13" s="125" t="s">
        <v>359</v>
      </c>
      <c r="C13" s="122"/>
      <c r="D13" s="122"/>
      <c r="E13" s="122"/>
      <c r="F13" s="122"/>
      <c r="G13" s="122"/>
      <c r="H13" s="122"/>
      <c r="I13" s="122"/>
      <c r="J13" s="122">
        <f>3000*16</f>
        <v>48000</v>
      </c>
      <c r="K13" s="122"/>
      <c r="L13" s="122"/>
      <c r="M13" s="122"/>
      <c r="N13" s="122"/>
      <c r="O13" s="122"/>
      <c r="P13" s="122"/>
      <c r="Q13" s="122"/>
      <c r="R13" s="122"/>
      <c r="S13" s="122"/>
      <c r="T13" s="122"/>
      <c r="U13" s="124" t="s">
        <v>360</v>
      </c>
      <c r="V13" s="122">
        <f>3000*16</f>
        <v>48000</v>
      </c>
      <c r="W13" s="122"/>
      <c r="X13" s="122"/>
      <c r="Y13" s="122"/>
      <c r="Z13" s="120">
        <f t="shared" si="1"/>
        <v>0</v>
      </c>
      <c r="AA13" s="122"/>
      <c r="AB13" s="122"/>
      <c r="AC13" s="122"/>
    </row>
    <row r="14">
      <c r="A14" s="157">
        <v>0.0</v>
      </c>
      <c r="B14" s="125" t="s">
        <v>314</v>
      </c>
      <c r="C14" s="122"/>
      <c r="D14" s="124">
        <v>-1321.0</v>
      </c>
      <c r="E14" s="122"/>
      <c r="F14" s="122"/>
      <c r="G14" s="122"/>
      <c r="H14" s="122"/>
      <c r="I14" s="122"/>
      <c r="J14" s="122"/>
      <c r="K14" s="122"/>
      <c r="L14" s="122"/>
      <c r="M14" s="124" t="s">
        <v>72</v>
      </c>
      <c r="N14" s="124">
        <v>1321.0</v>
      </c>
      <c r="O14" s="122"/>
      <c r="P14" s="122"/>
      <c r="Q14" s="122"/>
      <c r="R14" s="122"/>
      <c r="S14" s="122"/>
      <c r="T14" s="122"/>
      <c r="U14" s="122"/>
      <c r="V14" s="122"/>
      <c r="W14" s="122"/>
      <c r="X14" s="122"/>
      <c r="Y14" s="122"/>
      <c r="Z14" s="120">
        <f t="shared" si="1"/>
        <v>0</v>
      </c>
      <c r="AA14" s="122"/>
      <c r="AB14" s="122"/>
      <c r="AC14" s="122"/>
    </row>
    <row r="15">
      <c r="A15" s="157">
        <v>0.0</v>
      </c>
      <c r="B15" s="125" t="s">
        <v>361</v>
      </c>
      <c r="C15" s="122"/>
      <c r="D15" s="124">
        <v>-437.0</v>
      </c>
      <c r="E15" s="122"/>
      <c r="F15" s="122"/>
      <c r="G15" s="122"/>
      <c r="H15" s="122"/>
      <c r="I15" s="122"/>
      <c r="J15" s="122"/>
      <c r="K15" s="122"/>
      <c r="L15" s="122"/>
      <c r="M15" s="124" t="s">
        <v>72</v>
      </c>
      <c r="N15" s="124">
        <v>437.0</v>
      </c>
      <c r="O15" s="122"/>
      <c r="P15" s="122"/>
      <c r="Q15" s="122"/>
      <c r="R15" s="122"/>
      <c r="S15" s="122"/>
      <c r="T15" s="122"/>
      <c r="U15" s="122"/>
      <c r="V15" s="122"/>
      <c r="W15" s="122"/>
      <c r="X15" s="122"/>
      <c r="Y15" s="122"/>
      <c r="Z15" s="120">
        <f t="shared" si="1"/>
        <v>0</v>
      </c>
      <c r="AA15" s="122"/>
      <c r="AB15" s="122"/>
      <c r="AC15" s="122"/>
    </row>
    <row r="16">
      <c r="A16" s="157">
        <v>1.0</v>
      </c>
      <c r="B16" s="125" t="s">
        <v>362</v>
      </c>
      <c r="C16" s="122"/>
      <c r="D16" s="124">
        <v>-2820.0</v>
      </c>
      <c r="E16" s="122"/>
      <c r="F16" s="122"/>
      <c r="G16" s="122"/>
      <c r="H16" s="122"/>
      <c r="I16" s="122"/>
      <c r="J16" s="122"/>
      <c r="K16" s="122"/>
      <c r="L16" s="122"/>
      <c r="M16" s="124" t="s">
        <v>72</v>
      </c>
      <c r="N16" s="124">
        <v>2820.0</v>
      </c>
      <c r="O16" s="122"/>
      <c r="P16" s="122"/>
      <c r="Q16" s="122"/>
      <c r="R16" s="122"/>
      <c r="S16" s="122"/>
      <c r="T16" s="122"/>
      <c r="U16" s="122"/>
      <c r="V16" s="122"/>
      <c r="W16" s="122"/>
      <c r="X16" s="122"/>
      <c r="Y16" s="122"/>
      <c r="Z16" s="120">
        <f t="shared" si="1"/>
        <v>0</v>
      </c>
      <c r="AA16" s="122"/>
      <c r="AB16" s="122"/>
      <c r="AC16" s="122"/>
    </row>
    <row r="17">
      <c r="A17" s="157">
        <v>1.0</v>
      </c>
      <c r="B17" s="125" t="s">
        <v>296</v>
      </c>
      <c r="C17" s="122"/>
      <c r="D17" s="122"/>
      <c r="E17" s="122"/>
      <c r="F17" s="122"/>
      <c r="G17" s="122"/>
      <c r="H17" s="122"/>
      <c r="I17" s="122"/>
      <c r="J17" s="122"/>
      <c r="K17" s="122"/>
      <c r="L17" s="122">
        <f>13*16</f>
        <v>208</v>
      </c>
      <c r="M17" s="122"/>
      <c r="N17" s="122"/>
      <c r="O17" s="122"/>
      <c r="P17" s="122"/>
      <c r="Q17" s="122"/>
      <c r="R17" s="122"/>
      <c r="S17" s="122"/>
      <c r="T17" s="122"/>
      <c r="U17" s="122"/>
      <c r="V17" s="122"/>
      <c r="W17" s="122"/>
      <c r="X17" s="122"/>
      <c r="Y17" s="122">
        <f>13*16</f>
        <v>208</v>
      </c>
      <c r="Z17" s="120">
        <f t="shared" si="1"/>
        <v>0</v>
      </c>
      <c r="AA17" s="122"/>
      <c r="AB17" s="122"/>
      <c r="AC17" s="122"/>
    </row>
    <row r="18">
      <c r="A18" s="157">
        <v>3.0</v>
      </c>
      <c r="B18" s="125" t="s">
        <v>363</v>
      </c>
      <c r="C18" s="122"/>
      <c r="D18" s="122"/>
      <c r="E18" s="122"/>
      <c r="F18" s="122"/>
      <c r="G18" s="122"/>
      <c r="H18" s="122"/>
      <c r="I18" s="122"/>
      <c r="J18" s="122"/>
      <c r="K18" s="122"/>
      <c r="L18" s="122"/>
      <c r="M18" s="124" t="s">
        <v>72</v>
      </c>
      <c r="N18" s="124">
        <v>8745.0</v>
      </c>
      <c r="O18" s="122"/>
      <c r="P18" s="122"/>
      <c r="Q18" s="122"/>
      <c r="R18" s="124"/>
      <c r="S18" s="122"/>
      <c r="T18" s="124">
        <v>8745.0</v>
      </c>
      <c r="U18" s="122"/>
      <c r="V18" s="122"/>
      <c r="W18" s="122"/>
      <c r="X18" s="122"/>
      <c r="Y18" s="122"/>
      <c r="Z18" s="120">
        <f t="shared" si="1"/>
        <v>0</v>
      </c>
      <c r="AA18" s="122"/>
      <c r="AB18" s="122"/>
      <c r="AC18" s="122"/>
    </row>
    <row r="19">
      <c r="A19" s="157">
        <v>4.0</v>
      </c>
      <c r="B19" s="125" t="s">
        <v>364</v>
      </c>
      <c r="C19" s="122"/>
      <c r="D19" s="124">
        <v>-850.0</v>
      </c>
      <c r="E19" s="122"/>
      <c r="F19" s="122"/>
      <c r="G19" s="122"/>
      <c r="H19" s="122"/>
      <c r="I19" s="122"/>
      <c r="J19" s="122"/>
      <c r="K19" s="122"/>
      <c r="L19" s="122"/>
      <c r="M19" s="124" t="s">
        <v>72</v>
      </c>
      <c r="N19" s="124">
        <v>850.0</v>
      </c>
      <c r="O19" s="122"/>
      <c r="P19" s="122"/>
      <c r="Q19" s="122"/>
      <c r="R19" s="122"/>
      <c r="S19" s="122"/>
      <c r="T19" s="122"/>
      <c r="U19" s="122"/>
      <c r="V19" s="122"/>
      <c r="W19" s="122"/>
      <c r="X19" s="122"/>
      <c r="Y19" s="122"/>
      <c r="Z19" s="120">
        <f t="shared" si="1"/>
        <v>0</v>
      </c>
    </row>
    <row r="20">
      <c r="A20" s="157">
        <v>4.0</v>
      </c>
      <c r="B20" s="125" t="s">
        <v>365</v>
      </c>
      <c r="C20" s="122"/>
      <c r="D20" s="122"/>
      <c r="E20" s="122"/>
      <c r="F20" s="122"/>
      <c r="G20" s="122"/>
      <c r="H20" s="122"/>
      <c r="I20" s="122"/>
      <c r="J20" s="122"/>
      <c r="K20" s="122"/>
      <c r="L20" s="122"/>
      <c r="M20" s="124" t="s">
        <v>72</v>
      </c>
      <c r="N20" s="122"/>
      <c r="O20" s="122"/>
      <c r="P20" s="124">
        <v>23100.0</v>
      </c>
      <c r="Q20" s="122"/>
      <c r="R20" s="122"/>
      <c r="S20" s="122"/>
      <c r="T20" s="124">
        <v>23100.0</v>
      </c>
      <c r="U20" s="122"/>
      <c r="V20" s="122"/>
      <c r="W20" s="122"/>
      <c r="X20" s="122"/>
      <c r="Y20" s="122"/>
      <c r="Z20" s="120">
        <f t="shared" si="1"/>
        <v>0</v>
      </c>
    </row>
    <row r="21">
      <c r="A21" s="157">
        <v>4.0</v>
      </c>
      <c r="B21" s="125" t="s">
        <v>366</v>
      </c>
      <c r="C21" s="122"/>
      <c r="D21" s="122"/>
      <c r="E21" s="122"/>
      <c r="F21" s="122"/>
      <c r="G21" s="122"/>
      <c r="H21" s="122"/>
      <c r="I21" s="122"/>
      <c r="J21" s="122"/>
      <c r="K21" s="122"/>
      <c r="L21" s="122"/>
      <c r="M21" s="124" t="s">
        <v>79</v>
      </c>
      <c r="N21" s="122"/>
      <c r="O21" s="122"/>
      <c r="P21" s="124">
        <v>2277.0</v>
      </c>
      <c r="Q21" s="122"/>
      <c r="R21" s="122"/>
      <c r="S21" s="122"/>
      <c r="T21" s="124">
        <v>2277.0</v>
      </c>
      <c r="U21" s="122"/>
      <c r="V21" s="122"/>
      <c r="W21" s="122"/>
      <c r="X21" s="122"/>
      <c r="Y21" s="122"/>
      <c r="Z21" s="120">
        <f t="shared" si="1"/>
        <v>0</v>
      </c>
    </row>
    <row r="22">
      <c r="A22" s="157">
        <v>4.0</v>
      </c>
      <c r="B22" s="125" t="s">
        <v>367</v>
      </c>
      <c r="C22" s="122"/>
      <c r="D22" s="122"/>
      <c r="E22" s="122"/>
      <c r="F22" s="122"/>
      <c r="G22" s="122"/>
      <c r="H22" s="122"/>
      <c r="I22" s="122"/>
      <c r="J22" s="122"/>
      <c r="K22" s="122"/>
      <c r="L22" s="122"/>
      <c r="M22" s="124" t="s">
        <v>72</v>
      </c>
      <c r="N22" s="124">
        <v>754.0</v>
      </c>
      <c r="O22" s="122"/>
      <c r="P22" s="122"/>
      <c r="Q22" s="122"/>
      <c r="R22" s="122"/>
      <c r="S22" s="122"/>
      <c r="T22" s="124">
        <v>754.0</v>
      </c>
      <c r="U22" s="122"/>
      <c r="V22" s="122"/>
      <c r="W22" s="122"/>
      <c r="X22" s="122"/>
      <c r="Y22" s="122"/>
      <c r="Z22" s="120">
        <f t="shared" si="1"/>
        <v>0</v>
      </c>
    </row>
    <row r="23">
      <c r="A23" s="157">
        <v>4.0</v>
      </c>
      <c r="B23" s="125" t="s">
        <v>368</v>
      </c>
      <c r="C23" s="122"/>
      <c r="D23" s="124">
        <v>-300.0</v>
      </c>
      <c r="E23" s="122"/>
      <c r="F23" s="122"/>
      <c r="G23" s="122"/>
      <c r="H23" s="122"/>
      <c r="I23" s="122"/>
      <c r="J23" s="122"/>
      <c r="K23" s="122"/>
      <c r="L23" s="122"/>
      <c r="M23" s="124" t="s">
        <v>72</v>
      </c>
      <c r="N23" s="122"/>
      <c r="O23" s="124">
        <v>300.0</v>
      </c>
      <c r="P23" s="122"/>
      <c r="Q23" s="122"/>
      <c r="R23" s="122"/>
      <c r="S23" s="122"/>
      <c r="T23" s="122"/>
      <c r="U23" s="122"/>
      <c r="V23" s="122"/>
      <c r="W23" s="122"/>
      <c r="X23" s="122"/>
      <c r="Y23" s="122"/>
      <c r="Z23" s="120">
        <f t="shared" si="1"/>
        <v>0</v>
      </c>
    </row>
    <row r="24">
      <c r="A24" s="157">
        <v>4.0</v>
      </c>
      <c r="B24" s="125" t="s">
        <v>369</v>
      </c>
      <c r="C24" s="122"/>
      <c r="D24" s="122"/>
      <c r="E24" s="122"/>
      <c r="F24" s="122"/>
      <c r="G24" s="122"/>
      <c r="H24" s="122"/>
      <c r="I24" s="122"/>
      <c r="J24" s="122"/>
      <c r="K24" s="122"/>
      <c r="L24" s="122"/>
      <c r="M24" s="124" t="s">
        <v>72</v>
      </c>
      <c r="N24" s="124">
        <v>750.0</v>
      </c>
      <c r="O24" s="122"/>
      <c r="P24" s="122"/>
      <c r="Q24" s="122"/>
      <c r="R24" s="122"/>
      <c r="S24" s="122"/>
      <c r="T24" s="124">
        <v>750.0</v>
      </c>
      <c r="U24" s="122"/>
      <c r="V24" s="122"/>
      <c r="W24" s="122"/>
      <c r="X24" s="122"/>
      <c r="Y24" s="122"/>
      <c r="Z24" s="120">
        <f t="shared" si="1"/>
        <v>0</v>
      </c>
    </row>
    <row r="25">
      <c r="A25" s="157">
        <v>4.0</v>
      </c>
      <c r="B25" s="125" t="s">
        <v>370</v>
      </c>
      <c r="C25" s="122"/>
      <c r="D25" s="122"/>
      <c r="E25" s="122"/>
      <c r="F25" s="122"/>
      <c r="G25" s="122"/>
      <c r="H25" s="122"/>
      <c r="I25" s="122"/>
      <c r="J25" s="122"/>
      <c r="K25" s="122"/>
      <c r="L25" s="122"/>
      <c r="M25" s="124" t="s">
        <v>72</v>
      </c>
      <c r="N25" s="124">
        <v>333.0</v>
      </c>
      <c r="O25" s="122"/>
      <c r="P25" s="122"/>
      <c r="Q25" s="122"/>
      <c r="R25" s="122"/>
      <c r="S25" s="122"/>
      <c r="T25" s="124">
        <v>333.0</v>
      </c>
      <c r="U25" s="122"/>
      <c r="V25" s="122"/>
      <c r="W25" s="122"/>
      <c r="X25" s="122"/>
      <c r="Y25" s="122"/>
      <c r="Z25" s="120">
        <f t="shared" si="1"/>
        <v>0</v>
      </c>
    </row>
    <row r="26">
      <c r="A26" s="157">
        <v>4.0</v>
      </c>
      <c r="B26" s="125" t="s">
        <v>369</v>
      </c>
      <c r="C26" s="122"/>
      <c r="D26" s="122"/>
      <c r="E26" s="122"/>
      <c r="F26" s="122"/>
      <c r="G26" s="122"/>
      <c r="H26" s="122"/>
      <c r="I26" s="122"/>
      <c r="J26" s="122"/>
      <c r="K26" s="122"/>
      <c r="L26" s="122"/>
      <c r="M26" s="124" t="s">
        <v>72</v>
      </c>
      <c r="N26" s="124">
        <v>1382.0</v>
      </c>
      <c r="O26" s="122"/>
      <c r="P26" s="122"/>
      <c r="Q26" s="122"/>
      <c r="R26" s="122"/>
      <c r="S26" s="122"/>
      <c r="T26" s="124">
        <v>1382.0</v>
      </c>
      <c r="U26" s="122"/>
      <c r="V26" s="122"/>
      <c r="W26" s="122"/>
      <c r="X26" s="122"/>
      <c r="Y26" s="122"/>
      <c r="Z26" s="120">
        <f t="shared" si="1"/>
        <v>0</v>
      </c>
    </row>
    <row r="27">
      <c r="A27" s="157">
        <v>4.0</v>
      </c>
      <c r="B27" s="125" t="s">
        <v>369</v>
      </c>
      <c r="C27" s="122"/>
      <c r="D27" s="122"/>
      <c r="E27" s="122"/>
      <c r="F27" s="122"/>
      <c r="G27" s="122"/>
      <c r="H27" s="122"/>
      <c r="I27" s="122"/>
      <c r="J27" s="122"/>
      <c r="K27" s="122"/>
      <c r="L27" s="122"/>
      <c r="M27" s="124" t="s">
        <v>72</v>
      </c>
      <c r="N27" s="124">
        <v>604.0</v>
      </c>
      <c r="O27" s="122"/>
      <c r="P27" s="122"/>
      <c r="Q27" s="122"/>
      <c r="R27" s="122"/>
      <c r="S27" s="122"/>
      <c r="T27" s="124">
        <v>604.0</v>
      </c>
      <c r="U27" s="122"/>
      <c r="V27" s="122"/>
      <c r="W27" s="122"/>
      <c r="X27" s="122"/>
      <c r="Y27" s="122"/>
      <c r="Z27" s="120">
        <f t="shared" si="1"/>
        <v>0</v>
      </c>
    </row>
    <row r="28">
      <c r="A28" s="157">
        <v>4.0</v>
      </c>
      <c r="B28" s="125" t="s">
        <v>369</v>
      </c>
      <c r="C28" s="122"/>
      <c r="D28" s="122"/>
      <c r="E28" s="122"/>
      <c r="F28" s="122"/>
      <c r="G28" s="122"/>
      <c r="H28" s="122"/>
      <c r="I28" s="122"/>
      <c r="J28" s="122"/>
      <c r="K28" s="122"/>
      <c r="L28" s="122"/>
      <c r="M28" s="124" t="s">
        <v>72</v>
      </c>
      <c r="N28" s="124">
        <v>419.0</v>
      </c>
      <c r="O28" s="122"/>
      <c r="P28" s="122"/>
      <c r="Q28" s="122"/>
      <c r="R28" s="122"/>
      <c r="S28" s="122"/>
      <c r="T28" s="124">
        <v>419.0</v>
      </c>
      <c r="U28" s="122"/>
      <c r="V28" s="122"/>
      <c r="W28" s="122"/>
      <c r="X28" s="122"/>
      <c r="Y28" s="122"/>
      <c r="Z28" s="120">
        <f t="shared" si="1"/>
        <v>0</v>
      </c>
    </row>
    <row r="29">
      <c r="A29" s="157">
        <v>4.0</v>
      </c>
      <c r="B29" s="125" t="s">
        <v>302</v>
      </c>
      <c r="C29" s="124">
        <v>-1500.0</v>
      </c>
      <c r="D29" s="122"/>
      <c r="E29" s="122"/>
      <c r="F29" s="122"/>
      <c r="G29" s="122"/>
      <c r="H29" s="122"/>
      <c r="I29" s="122"/>
      <c r="J29" s="122"/>
      <c r="K29" s="122"/>
      <c r="L29" s="122"/>
      <c r="M29" s="124" t="s">
        <v>81</v>
      </c>
      <c r="N29" s="122"/>
      <c r="O29" s="122"/>
      <c r="P29" s="122"/>
      <c r="Q29" s="124">
        <v>1500.0</v>
      </c>
      <c r="R29" s="122"/>
      <c r="S29" s="122"/>
      <c r="T29" s="122"/>
      <c r="U29" s="122"/>
      <c r="V29" s="122"/>
      <c r="W29" s="122"/>
      <c r="X29" s="122"/>
      <c r="Y29" s="122"/>
      <c r="Z29" s="120">
        <f t="shared" si="1"/>
        <v>0</v>
      </c>
    </row>
    <row r="30">
      <c r="A30" s="157">
        <v>5.0</v>
      </c>
      <c r="B30" s="125" t="s">
        <v>371</v>
      </c>
      <c r="C30" s="124"/>
      <c r="D30" s="124"/>
      <c r="E30" s="122"/>
      <c r="F30" s="122"/>
      <c r="G30" s="122"/>
      <c r="H30" s="122"/>
      <c r="I30" s="122"/>
      <c r="J30" s="122"/>
      <c r="K30" s="122"/>
      <c r="L30" s="122"/>
      <c r="M30" s="124" t="s">
        <v>72</v>
      </c>
      <c r="N30" s="124">
        <v>512.0</v>
      </c>
      <c r="O30" s="122"/>
      <c r="P30" s="122"/>
      <c r="Q30" s="122"/>
      <c r="R30" s="122"/>
      <c r="S30" s="122"/>
      <c r="T30" s="124">
        <v>512.0</v>
      </c>
      <c r="U30" s="122"/>
      <c r="V30" s="122"/>
      <c r="W30" s="122"/>
      <c r="X30" s="122"/>
      <c r="Y30" s="122"/>
      <c r="Z30" s="120">
        <f t="shared" si="1"/>
        <v>0</v>
      </c>
    </row>
    <row r="31">
      <c r="A31" s="157">
        <v>5.0</v>
      </c>
      <c r="B31" s="125" t="s">
        <v>372</v>
      </c>
      <c r="C31" s="122"/>
      <c r="D31" s="124"/>
      <c r="E31" s="122"/>
      <c r="F31" s="122"/>
      <c r="G31" s="122"/>
      <c r="H31" s="122"/>
      <c r="I31" s="122"/>
      <c r="J31" s="124"/>
      <c r="K31" s="122"/>
      <c r="L31" s="122"/>
      <c r="M31" s="124" t="s">
        <v>72</v>
      </c>
      <c r="N31" s="124">
        <v>920.0</v>
      </c>
      <c r="O31" s="122"/>
      <c r="P31" s="122"/>
      <c r="Q31" s="122"/>
      <c r="R31" s="122"/>
      <c r="S31" s="124">
        <v>920.0</v>
      </c>
      <c r="T31" s="122"/>
      <c r="U31" s="122"/>
      <c r="V31" s="122"/>
      <c r="W31" s="122"/>
      <c r="X31" s="122"/>
      <c r="Y31" s="122"/>
      <c r="Z31" s="120">
        <f t="shared" si="1"/>
        <v>0</v>
      </c>
    </row>
    <row r="32">
      <c r="A32" s="157">
        <v>5.0</v>
      </c>
      <c r="B32" s="125" t="s">
        <v>373</v>
      </c>
      <c r="C32" s="122"/>
      <c r="D32" s="124"/>
      <c r="E32" s="122"/>
      <c r="F32" s="122"/>
      <c r="G32" s="122"/>
      <c r="H32" s="122"/>
      <c r="I32" s="122"/>
      <c r="J32" s="122"/>
      <c r="K32" s="122"/>
      <c r="L32" s="122"/>
      <c r="M32" s="124" t="s">
        <v>72</v>
      </c>
      <c r="N32" s="124">
        <v>722.0</v>
      </c>
      <c r="O32" s="122"/>
      <c r="P32" s="122"/>
      <c r="Q32" s="122"/>
      <c r="R32" s="122"/>
      <c r="S32" s="122"/>
      <c r="T32" s="124">
        <v>722.0</v>
      </c>
      <c r="U32" s="122"/>
      <c r="V32" s="122"/>
      <c r="W32" s="122"/>
      <c r="X32" s="122"/>
      <c r="Y32" s="122"/>
      <c r="Z32" s="120">
        <f t="shared" si="1"/>
        <v>0</v>
      </c>
    </row>
    <row r="33">
      <c r="A33" s="157">
        <v>5.0</v>
      </c>
      <c r="B33" s="125" t="s">
        <v>374</v>
      </c>
      <c r="C33" s="122"/>
      <c r="D33" s="124">
        <v>1000.0</v>
      </c>
      <c r="E33" s="122"/>
      <c r="F33" s="122"/>
      <c r="G33" s="122"/>
      <c r="H33" s="122"/>
      <c r="I33" s="122"/>
      <c r="J33" s="122"/>
      <c r="K33" s="122"/>
      <c r="L33" s="122"/>
      <c r="M33" s="124"/>
      <c r="N33" s="122"/>
      <c r="O33" s="122"/>
      <c r="P33" s="122"/>
      <c r="Q33" s="122"/>
      <c r="R33" s="122"/>
      <c r="S33" s="122"/>
      <c r="T33" s="122"/>
      <c r="U33" s="122"/>
      <c r="V33" s="122"/>
      <c r="W33" s="122"/>
      <c r="X33" s="122"/>
      <c r="Y33" s="124">
        <v>1000.0</v>
      </c>
      <c r="Z33" s="120">
        <f t="shared" si="1"/>
        <v>0</v>
      </c>
    </row>
    <row r="34">
      <c r="A34" s="157">
        <v>7.0</v>
      </c>
      <c r="B34" s="125" t="s">
        <v>363</v>
      </c>
      <c r="C34" s="122"/>
      <c r="D34" s="122"/>
      <c r="E34" s="122"/>
      <c r="F34" s="122"/>
      <c r="G34" s="122"/>
      <c r="H34" s="122"/>
      <c r="I34" s="122"/>
      <c r="J34" s="122"/>
      <c r="K34" s="122"/>
      <c r="L34" s="122"/>
      <c r="M34" s="124" t="s">
        <v>72</v>
      </c>
      <c r="N34" s="124">
        <v>7356.0</v>
      </c>
      <c r="O34" s="122"/>
      <c r="P34" s="122"/>
      <c r="Q34" s="122"/>
      <c r="R34" s="122"/>
      <c r="S34" s="122"/>
      <c r="T34" s="124">
        <v>7356.0</v>
      </c>
      <c r="U34" s="122"/>
      <c r="V34" s="122"/>
      <c r="W34" s="122"/>
      <c r="X34" s="122"/>
      <c r="Y34" s="122"/>
      <c r="Z34" s="120">
        <f t="shared" si="1"/>
        <v>0</v>
      </c>
    </row>
    <row r="35">
      <c r="A35" s="157">
        <v>8.0</v>
      </c>
      <c r="B35" s="125" t="s">
        <v>375</v>
      </c>
      <c r="C35" s="122"/>
      <c r="D35" s="122"/>
      <c r="E35" s="122"/>
      <c r="F35" s="122"/>
      <c r="G35" s="122"/>
      <c r="H35" s="122"/>
      <c r="I35" s="122"/>
      <c r="J35" s="122"/>
      <c r="K35" s="122"/>
      <c r="L35" s="122"/>
      <c r="M35" s="124" t="s">
        <v>79</v>
      </c>
      <c r="N35" s="122"/>
      <c r="O35" s="122"/>
      <c r="P35" s="124">
        <v>7260.0</v>
      </c>
      <c r="Q35" s="124"/>
      <c r="R35" s="122"/>
      <c r="S35" s="122"/>
      <c r="T35" s="124">
        <v>7260.0</v>
      </c>
      <c r="U35" s="124"/>
      <c r="V35" s="124"/>
      <c r="W35" s="122"/>
      <c r="X35" s="122"/>
      <c r="Y35" s="122"/>
      <c r="Z35" s="120">
        <f t="shared" si="1"/>
        <v>0</v>
      </c>
    </row>
    <row r="36">
      <c r="A36" s="157">
        <v>9.0</v>
      </c>
      <c r="B36" s="125" t="s">
        <v>314</v>
      </c>
      <c r="C36" s="122"/>
      <c r="D36" s="124">
        <v>-3498.0</v>
      </c>
      <c r="E36" s="122"/>
      <c r="F36" s="122"/>
      <c r="G36" s="122"/>
      <c r="H36" s="122"/>
      <c r="I36" s="122"/>
      <c r="J36" s="122"/>
      <c r="K36" s="122"/>
      <c r="L36" s="122"/>
      <c r="M36" s="124" t="s">
        <v>72</v>
      </c>
      <c r="N36" s="124">
        <v>3498.0</v>
      </c>
      <c r="O36" s="122"/>
      <c r="P36" s="122"/>
      <c r="Q36" s="122"/>
      <c r="R36" s="122"/>
      <c r="S36" s="122"/>
      <c r="T36" s="122"/>
      <c r="U36" s="122"/>
      <c r="V36" s="122"/>
      <c r="W36" s="122"/>
      <c r="X36" s="122"/>
      <c r="Y36" s="122"/>
      <c r="Z36" s="120">
        <f t="shared" si="1"/>
        <v>0</v>
      </c>
    </row>
    <row r="37">
      <c r="A37" s="157">
        <v>12.0</v>
      </c>
      <c r="B37" s="125" t="s">
        <v>363</v>
      </c>
      <c r="C37" s="122"/>
      <c r="D37" s="122"/>
      <c r="E37" s="122"/>
      <c r="F37" s="122"/>
      <c r="G37" s="122"/>
      <c r="H37" s="122"/>
      <c r="I37" s="122"/>
      <c r="J37" s="122"/>
      <c r="K37" s="122"/>
      <c r="L37" s="122"/>
      <c r="M37" s="124" t="s">
        <v>72</v>
      </c>
      <c r="N37" s="124">
        <v>10811.0</v>
      </c>
      <c r="O37" s="122"/>
      <c r="P37" s="122"/>
      <c r="Q37" s="122"/>
      <c r="R37" s="122"/>
      <c r="S37" s="122"/>
      <c r="T37" s="124">
        <v>10811.0</v>
      </c>
      <c r="U37" s="122"/>
      <c r="V37" s="122"/>
      <c r="W37" s="122"/>
      <c r="X37" s="122"/>
      <c r="Y37" s="122"/>
      <c r="Z37" s="120">
        <f t="shared" si="1"/>
        <v>0</v>
      </c>
    </row>
    <row r="38">
      <c r="A38" s="157">
        <v>12.0</v>
      </c>
      <c r="B38" s="125" t="s">
        <v>376</v>
      </c>
      <c r="C38" s="122"/>
      <c r="D38" s="122">
        <f>-(650+100+170)</f>
        <v>-920</v>
      </c>
      <c r="E38" s="122"/>
      <c r="F38" s="122"/>
      <c r="G38" s="122"/>
      <c r="H38" s="122"/>
      <c r="I38" s="122"/>
      <c r="J38" s="122"/>
      <c r="K38" s="122"/>
      <c r="L38" s="122"/>
      <c r="M38" s="124" t="s">
        <v>72</v>
      </c>
      <c r="N38" s="124">
        <v>920.0</v>
      </c>
      <c r="O38" s="122"/>
      <c r="P38" s="122"/>
      <c r="Q38" s="122"/>
      <c r="R38" s="122"/>
      <c r="S38" s="122"/>
      <c r="T38" s="122"/>
      <c r="U38" s="122"/>
      <c r="V38" s="122"/>
      <c r="W38" s="122"/>
      <c r="X38" s="122"/>
      <c r="Y38" s="122"/>
      <c r="Z38" s="120">
        <f t="shared" si="1"/>
        <v>0</v>
      </c>
    </row>
    <row r="39">
      <c r="A39" s="157">
        <v>15.0</v>
      </c>
      <c r="B39" s="125" t="s">
        <v>314</v>
      </c>
      <c r="C39" s="122"/>
      <c r="D39" s="124">
        <v>-6043.0</v>
      </c>
      <c r="E39" s="122"/>
      <c r="F39" s="122"/>
      <c r="G39" s="122"/>
      <c r="H39" s="122"/>
      <c r="I39" s="122"/>
      <c r="J39" s="122"/>
      <c r="K39" s="122"/>
      <c r="L39" s="122"/>
      <c r="M39" s="124" t="s">
        <v>72</v>
      </c>
      <c r="N39" s="124">
        <v>6043.0</v>
      </c>
      <c r="O39" s="122"/>
      <c r="P39" s="122"/>
      <c r="Q39" s="122"/>
      <c r="R39" s="122"/>
      <c r="S39" s="122"/>
      <c r="T39" s="122"/>
      <c r="U39" s="122"/>
      <c r="V39" s="122"/>
      <c r="W39" s="122"/>
      <c r="X39" s="122"/>
      <c r="Y39" s="122"/>
      <c r="Z39" s="120">
        <f t="shared" si="1"/>
        <v>0</v>
      </c>
    </row>
    <row r="40">
      <c r="A40" s="157">
        <v>15.0</v>
      </c>
      <c r="B40" s="125" t="s">
        <v>313</v>
      </c>
      <c r="C40" s="122"/>
      <c r="D40" s="124">
        <v>-320.0</v>
      </c>
      <c r="E40" s="122"/>
      <c r="F40" s="122"/>
      <c r="G40" s="122"/>
      <c r="H40" s="122"/>
      <c r="I40" s="122"/>
      <c r="J40" s="122"/>
      <c r="K40" s="122"/>
      <c r="L40" s="122"/>
      <c r="M40" s="124" t="s">
        <v>72</v>
      </c>
      <c r="N40" s="124">
        <v>320.0</v>
      </c>
      <c r="O40" s="122"/>
      <c r="P40" s="122"/>
      <c r="Q40" s="122"/>
      <c r="R40" s="122"/>
      <c r="S40" s="122"/>
      <c r="T40" s="122"/>
      <c r="U40" s="122"/>
      <c r="V40" s="122"/>
      <c r="W40" s="122"/>
      <c r="X40" s="122"/>
      <c r="Y40" s="122"/>
      <c r="Z40" s="120">
        <f t="shared" si="1"/>
        <v>0</v>
      </c>
    </row>
    <row r="41">
      <c r="A41" s="157">
        <v>16.0</v>
      </c>
      <c r="B41" s="125" t="s">
        <v>363</v>
      </c>
      <c r="C41" s="122"/>
      <c r="D41" s="122"/>
      <c r="E41" s="122"/>
      <c r="F41" s="122"/>
      <c r="G41" s="122"/>
      <c r="H41" s="122"/>
      <c r="I41" s="122"/>
      <c r="J41" s="122"/>
      <c r="K41" s="122"/>
      <c r="L41" s="122"/>
      <c r="M41" s="124" t="s">
        <v>72</v>
      </c>
      <c r="N41" s="124">
        <v>1082.0</v>
      </c>
      <c r="O41" s="122"/>
      <c r="P41" s="122"/>
      <c r="Q41" s="122"/>
      <c r="R41" s="122"/>
      <c r="S41" s="122"/>
      <c r="T41" s="124">
        <v>1082.0</v>
      </c>
      <c r="U41" s="122"/>
      <c r="V41" s="122"/>
      <c r="W41" s="122"/>
      <c r="X41" s="122"/>
      <c r="Y41" s="122"/>
      <c r="Z41" s="120">
        <f t="shared" si="1"/>
        <v>0</v>
      </c>
    </row>
    <row r="42">
      <c r="A42" s="157">
        <v>16.0</v>
      </c>
      <c r="B42" s="125" t="s">
        <v>377</v>
      </c>
      <c r="C42" s="122"/>
      <c r="D42" s="122"/>
      <c r="E42" s="122"/>
      <c r="F42" s="122"/>
      <c r="G42" s="122"/>
      <c r="H42" s="122"/>
      <c r="I42" s="122"/>
      <c r="J42" s="122"/>
      <c r="K42" s="122"/>
      <c r="L42" s="122"/>
      <c r="M42" s="124" t="s">
        <v>72</v>
      </c>
      <c r="N42" s="122"/>
      <c r="O42" s="122"/>
      <c r="P42" s="122"/>
      <c r="Q42" s="124">
        <v>250.0</v>
      </c>
      <c r="R42" s="122"/>
      <c r="S42" s="122"/>
      <c r="T42" s="124">
        <v>250.0</v>
      </c>
      <c r="U42" s="124"/>
      <c r="V42" s="124"/>
      <c r="W42" s="122"/>
      <c r="X42" s="122"/>
      <c r="Y42" s="122"/>
      <c r="Z42" s="120">
        <f t="shared" si="1"/>
        <v>0</v>
      </c>
    </row>
    <row r="43">
      <c r="A43" s="157">
        <v>19.0</v>
      </c>
      <c r="B43" s="125" t="s">
        <v>363</v>
      </c>
      <c r="C43" s="122"/>
      <c r="D43" s="122"/>
      <c r="E43" s="122"/>
      <c r="F43" s="122"/>
      <c r="G43" s="122"/>
      <c r="H43" s="122"/>
      <c r="I43" s="122"/>
      <c r="J43" s="122"/>
      <c r="K43" s="122"/>
      <c r="L43" s="122"/>
      <c r="M43" s="124" t="s">
        <v>72</v>
      </c>
      <c r="N43" s="124">
        <v>8889.0</v>
      </c>
      <c r="O43" s="122"/>
      <c r="P43" s="122"/>
      <c r="Q43" s="122"/>
      <c r="R43" s="122"/>
      <c r="S43" s="122"/>
      <c r="T43" s="124">
        <v>8889.0</v>
      </c>
      <c r="U43" s="122"/>
      <c r="V43" s="122"/>
      <c r="W43" s="122"/>
      <c r="X43" s="122"/>
      <c r="Y43" s="122"/>
      <c r="Z43" s="120">
        <f t="shared" si="1"/>
        <v>0</v>
      </c>
      <c r="AA43" s="122"/>
      <c r="AB43" s="122"/>
      <c r="AC43" s="122"/>
    </row>
    <row r="44">
      <c r="A44" s="157">
        <v>19.0</v>
      </c>
      <c r="B44" s="125" t="s">
        <v>378</v>
      </c>
      <c r="C44" s="124">
        <v>-60000.0</v>
      </c>
      <c r="D44" s="124">
        <v>60000.0</v>
      </c>
      <c r="E44" s="122"/>
      <c r="F44" s="122"/>
      <c r="G44" s="122"/>
      <c r="H44" s="122"/>
      <c r="I44" s="122"/>
      <c r="J44" s="122"/>
      <c r="K44" s="122"/>
      <c r="L44" s="122"/>
      <c r="M44" s="124" t="s">
        <v>72</v>
      </c>
      <c r="N44" s="122"/>
      <c r="O44" s="122"/>
      <c r="P44" s="122"/>
      <c r="Q44" s="122"/>
      <c r="R44" s="122"/>
      <c r="S44" s="122"/>
      <c r="T44" s="122"/>
      <c r="U44" s="122"/>
      <c r="V44" s="122"/>
      <c r="W44" s="122"/>
      <c r="X44" s="122"/>
      <c r="Y44" s="122"/>
      <c r="Z44" s="120">
        <f t="shared" si="1"/>
        <v>0</v>
      </c>
      <c r="AA44" s="122"/>
      <c r="AB44" s="122"/>
      <c r="AC44" s="122"/>
    </row>
    <row r="45">
      <c r="A45" s="157">
        <v>19.0</v>
      </c>
      <c r="B45" s="125" t="s">
        <v>379</v>
      </c>
      <c r="C45" s="122"/>
      <c r="D45" s="124">
        <v>-52500.0</v>
      </c>
      <c r="E45" s="122"/>
      <c r="F45" s="122"/>
      <c r="G45" s="122"/>
      <c r="H45" s="122"/>
      <c r="I45" s="122"/>
      <c r="J45" s="122"/>
      <c r="K45" s="122"/>
      <c r="L45" s="122"/>
      <c r="M45" s="124" t="s">
        <v>81</v>
      </c>
      <c r="N45" s="122"/>
      <c r="O45" s="122"/>
      <c r="P45" s="122"/>
      <c r="Q45" s="124">
        <v>52500.0</v>
      </c>
      <c r="R45" s="122"/>
      <c r="S45" s="122"/>
      <c r="T45" s="122"/>
      <c r="U45" s="122"/>
      <c r="V45" s="122"/>
      <c r="W45" s="122"/>
      <c r="X45" s="122"/>
      <c r="Y45" s="122"/>
      <c r="Z45" s="120">
        <f t="shared" si="1"/>
        <v>0</v>
      </c>
      <c r="AA45" s="122"/>
      <c r="AB45" s="122"/>
      <c r="AC45" s="122"/>
    </row>
    <row r="46">
      <c r="A46" s="157">
        <v>20.0</v>
      </c>
      <c r="B46" s="125" t="s">
        <v>380</v>
      </c>
      <c r="C46" s="122"/>
      <c r="D46" s="122"/>
      <c r="E46" s="122"/>
      <c r="F46" s="122"/>
      <c r="G46" s="122"/>
      <c r="H46" s="122"/>
      <c r="I46" s="122"/>
      <c r="J46" s="122"/>
      <c r="K46" s="122"/>
      <c r="L46" s="122"/>
      <c r="M46" s="124" t="s">
        <v>72</v>
      </c>
      <c r="N46" s="124">
        <v>208.0</v>
      </c>
      <c r="O46" s="122"/>
      <c r="P46" s="122"/>
      <c r="Q46" s="122"/>
      <c r="R46" s="122"/>
      <c r="S46" s="122"/>
      <c r="T46" s="124">
        <v>208.0</v>
      </c>
      <c r="U46" s="122"/>
      <c r="V46" s="122"/>
      <c r="W46" s="122"/>
      <c r="X46" s="122"/>
      <c r="Y46" s="122"/>
      <c r="Z46" s="120">
        <f t="shared" si="1"/>
        <v>0</v>
      </c>
      <c r="AA46" s="122"/>
      <c r="AB46" s="122"/>
      <c r="AC46" s="122"/>
    </row>
    <row r="47">
      <c r="A47" s="157">
        <v>20.0</v>
      </c>
      <c r="B47" s="125" t="s">
        <v>381</v>
      </c>
      <c r="C47" s="122"/>
      <c r="D47" s="124">
        <v>-444.0</v>
      </c>
      <c r="E47" s="122"/>
      <c r="F47" s="122"/>
      <c r="G47" s="122"/>
      <c r="H47" s="122"/>
      <c r="I47" s="122"/>
      <c r="J47" s="122"/>
      <c r="K47" s="122"/>
      <c r="L47" s="122"/>
      <c r="M47" s="124" t="s">
        <v>72</v>
      </c>
      <c r="N47" s="124">
        <v>444.0</v>
      </c>
      <c r="O47" s="122"/>
      <c r="P47" s="122"/>
      <c r="Q47" s="122"/>
      <c r="R47" s="122"/>
      <c r="S47" s="122"/>
      <c r="T47" s="124"/>
      <c r="U47" s="122"/>
      <c r="V47" s="122"/>
      <c r="W47" s="122"/>
      <c r="X47" s="122"/>
      <c r="Y47" s="122"/>
      <c r="Z47" s="120">
        <f t="shared" si="1"/>
        <v>0</v>
      </c>
      <c r="AA47" s="122"/>
      <c r="AB47" s="122"/>
      <c r="AC47" s="122"/>
    </row>
    <row r="48">
      <c r="A48" s="157">
        <v>20.0</v>
      </c>
      <c r="B48" s="125" t="s">
        <v>382</v>
      </c>
      <c r="C48" s="122"/>
      <c r="D48" s="124">
        <v>-1910.0</v>
      </c>
      <c r="E48" s="122"/>
      <c r="F48" s="122"/>
      <c r="G48" s="122"/>
      <c r="H48" s="122"/>
      <c r="I48" s="122"/>
      <c r="J48" s="122"/>
      <c r="K48" s="122"/>
      <c r="L48" s="122"/>
      <c r="M48" s="124" t="s">
        <v>81</v>
      </c>
      <c r="N48" s="122"/>
      <c r="O48" s="122"/>
      <c r="P48" s="122"/>
      <c r="Q48" s="124">
        <v>1910.0</v>
      </c>
      <c r="R48" s="122"/>
      <c r="S48" s="122"/>
      <c r="T48" s="122"/>
      <c r="U48" s="122"/>
      <c r="V48" s="122"/>
      <c r="W48" s="122"/>
      <c r="X48" s="122"/>
      <c r="Y48" s="122"/>
      <c r="Z48" s="120">
        <f t="shared" si="1"/>
        <v>0</v>
      </c>
      <c r="AA48" s="122"/>
      <c r="AB48" s="122"/>
      <c r="AC48" s="122"/>
    </row>
    <row r="49">
      <c r="A49" s="157">
        <v>22.0</v>
      </c>
      <c r="B49" s="125" t="s">
        <v>363</v>
      </c>
      <c r="C49" s="122"/>
      <c r="D49" s="122"/>
      <c r="E49" s="122"/>
      <c r="F49" s="122"/>
      <c r="G49" s="122"/>
      <c r="H49" s="122"/>
      <c r="I49" s="122"/>
      <c r="J49" s="122"/>
      <c r="K49" s="122"/>
      <c r="L49" s="122"/>
      <c r="M49" s="124" t="s">
        <v>72</v>
      </c>
      <c r="N49" s="124">
        <v>7852.0</v>
      </c>
      <c r="O49" s="122"/>
      <c r="P49" s="122"/>
      <c r="Q49" s="122"/>
      <c r="R49" s="122"/>
      <c r="S49" s="122"/>
      <c r="T49" s="124">
        <v>7852.0</v>
      </c>
      <c r="U49" s="122"/>
      <c r="V49" s="122"/>
      <c r="W49" s="122"/>
      <c r="X49" s="122"/>
      <c r="Y49" s="122"/>
      <c r="Z49" s="120">
        <f t="shared" si="1"/>
        <v>0</v>
      </c>
      <c r="AA49" s="122"/>
      <c r="AB49" s="122"/>
      <c r="AC49" s="122"/>
    </row>
    <row r="50">
      <c r="A50" s="157">
        <v>22.0</v>
      </c>
      <c r="B50" s="125" t="s">
        <v>383</v>
      </c>
      <c r="C50" s="122"/>
      <c r="D50" s="122"/>
      <c r="E50" s="122"/>
      <c r="F50" s="122"/>
      <c r="G50" s="122"/>
      <c r="H50" s="122"/>
      <c r="I50" s="122"/>
      <c r="J50" s="122"/>
      <c r="K50" s="122"/>
      <c r="L50" s="122"/>
      <c r="M50" s="124" t="s">
        <v>72</v>
      </c>
      <c r="N50" s="124">
        <v>1412.0</v>
      </c>
      <c r="O50" s="122"/>
      <c r="P50" s="124">
        <v>818.0</v>
      </c>
      <c r="Q50" s="122"/>
      <c r="R50" s="122"/>
      <c r="S50" s="122"/>
      <c r="T50" s="124">
        <v>2230.0</v>
      </c>
      <c r="U50" s="122"/>
      <c r="V50" s="122"/>
      <c r="W50" s="122"/>
      <c r="X50" s="122"/>
      <c r="Y50" s="122"/>
      <c r="Z50" s="120">
        <f t="shared" si="1"/>
        <v>0</v>
      </c>
      <c r="AA50" s="122"/>
      <c r="AB50" s="122"/>
      <c r="AC50" s="122"/>
    </row>
    <row r="51">
      <c r="A51" s="157">
        <v>22.0</v>
      </c>
      <c r="B51" s="125" t="s">
        <v>384</v>
      </c>
      <c r="C51" s="122"/>
      <c r="D51" s="122"/>
      <c r="E51" s="122"/>
      <c r="F51" s="122"/>
      <c r="G51" s="122"/>
      <c r="H51" s="122"/>
      <c r="I51" s="122"/>
      <c r="J51" s="122"/>
      <c r="K51" s="122"/>
      <c r="L51" s="122"/>
      <c r="M51" s="124" t="s">
        <v>79</v>
      </c>
      <c r="N51" s="122"/>
      <c r="O51" s="122"/>
      <c r="P51" s="124">
        <v>1692.0</v>
      </c>
      <c r="Q51" s="122"/>
      <c r="R51" s="122"/>
      <c r="S51" s="122"/>
      <c r="T51" s="124">
        <v>1692.0</v>
      </c>
      <c r="U51" s="122"/>
      <c r="V51" s="122"/>
      <c r="W51" s="122"/>
      <c r="X51" s="122"/>
      <c r="Y51" s="122"/>
      <c r="Z51" s="120">
        <f t="shared" si="1"/>
        <v>0</v>
      </c>
      <c r="AA51" s="122"/>
      <c r="AB51" s="122"/>
      <c r="AC51" s="122"/>
    </row>
    <row r="52">
      <c r="A52" s="157">
        <v>22.0</v>
      </c>
      <c r="B52" s="125" t="s">
        <v>385</v>
      </c>
      <c r="C52" s="122"/>
      <c r="D52" s="122"/>
      <c r="E52" s="122"/>
      <c r="F52" s="122"/>
      <c r="G52" s="122"/>
      <c r="H52" s="122"/>
      <c r="I52" s="122"/>
      <c r="J52" s="122"/>
      <c r="K52" s="122"/>
      <c r="L52" s="122"/>
      <c r="M52" s="124" t="s">
        <v>72</v>
      </c>
      <c r="N52" s="122"/>
      <c r="O52" s="122"/>
      <c r="P52" s="122"/>
      <c r="Q52" s="124">
        <v>1224.0</v>
      </c>
      <c r="R52" s="122"/>
      <c r="S52" s="122"/>
      <c r="T52" s="124">
        <v>1224.0</v>
      </c>
      <c r="U52" s="122"/>
      <c r="V52" s="122"/>
      <c r="W52" s="122"/>
      <c r="X52" s="122"/>
      <c r="Y52" s="122"/>
      <c r="Z52" s="120">
        <f t="shared" si="1"/>
        <v>0</v>
      </c>
      <c r="AA52" s="122"/>
      <c r="AB52" s="122"/>
      <c r="AC52" s="122"/>
    </row>
    <row r="53">
      <c r="A53" s="157">
        <v>22.0</v>
      </c>
      <c r="B53" s="125" t="s">
        <v>386</v>
      </c>
      <c r="C53" s="122"/>
      <c r="D53" s="122"/>
      <c r="E53" s="122"/>
      <c r="F53" s="122"/>
      <c r="G53" s="122"/>
      <c r="H53" s="122"/>
      <c r="I53" s="122"/>
      <c r="J53" s="122"/>
      <c r="K53" s="122"/>
      <c r="L53" s="122"/>
      <c r="M53" s="124" t="s">
        <v>72</v>
      </c>
      <c r="N53" s="124">
        <v>633.0</v>
      </c>
      <c r="O53" s="122"/>
      <c r="P53" s="122"/>
      <c r="Q53" s="122"/>
      <c r="R53" s="122"/>
      <c r="S53" s="122"/>
      <c r="T53" s="124">
        <v>633.0</v>
      </c>
      <c r="U53" s="122"/>
      <c r="V53" s="122"/>
      <c r="W53" s="122"/>
      <c r="X53" s="122"/>
      <c r="Y53" s="122"/>
      <c r="Z53" s="120">
        <f t="shared" si="1"/>
        <v>0</v>
      </c>
      <c r="AA53" s="122"/>
      <c r="AB53" s="122"/>
      <c r="AC53" s="122"/>
    </row>
    <row r="54">
      <c r="A54" s="157">
        <v>25.0</v>
      </c>
      <c r="B54" s="125" t="s">
        <v>380</v>
      </c>
      <c r="C54" s="122"/>
      <c r="D54" s="124">
        <v>-208.0</v>
      </c>
      <c r="E54" s="122"/>
      <c r="F54" s="122"/>
      <c r="G54" s="122"/>
      <c r="H54" s="122"/>
      <c r="I54" s="122"/>
      <c r="J54" s="122"/>
      <c r="K54" s="122"/>
      <c r="L54" s="122"/>
      <c r="M54" s="124" t="s">
        <v>72</v>
      </c>
      <c r="N54" s="124">
        <v>208.0</v>
      </c>
      <c r="O54" s="122"/>
      <c r="P54" s="122"/>
      <c r="Q54" s="122"/>
      <c r="R54" s="122"/>
      <c r="S54" s="122"/>
      <c r="T54" s="122"/>
      <c r="U54" s="122"/>
      <c r="V54" s="122"/>
      <c r="W54" s="122"/>
      <c r="X54" s="122"/>
      <c r="Y54" s="122"/>
      <c r="Z54" s="120">
        <f t="shared" si="1"/>
        <v>0</v>
      </c>
      <c r="AA54" s="122"/>
      <c r="AB54" s="122"/>
      <c r="AC54" s="122"/>
    </row>
    <row r="55">
      <c r="A55" s="157">
        <v>25.0</v>
      </c>
      <c r="B55" s="125" t="s">
        <v>387</v>
      </c>
      <c r="C55" s="122"/>
      <c r="D55" s="124">
        <v>800.0</v>
      </c>
      <c r="E55" s="122"/>
      <c r="F55" s="122"/>
      <c r="G55" s="122"/>
      <c r="H55" s="122"/>
      <c r="I55" s="122"/>
      <c r="J55" s="122"/>
      <c r="K55" s="122"/>
      <c r="L55" s="122"/>
      <c r="M55" s="122"/>
      <c r="N55" s="122"/>
      <c r="O55" s="122"/>
      <c r="P55" s="122"/>
      <c r="Q55" s="122"/>
      <c r="R55" s="122"/>
      <c r="S55" s="122"/>
      <c r="T55" s="122"/>
      <c r="U55" s="122"/>
      <c r="V55" s="122"/>
      <c r="W55" s="122"/>
      <c r="X55" s="122"/>
      <c r="Y55" s="124">
        <v>800.0</v>
      </c>
      <c r="Z55" s="120">
        <f t="shared" si="1"/>
        <v>0</v>
      </c>
      <c r="AA55" s="122"/>
      <c r="AB55" s="122"/>
      <c r="AC55" s="122"/>
    </row>
    <row r="56">
      <c r="A56" s="157">
        <v>26.0</v>
      </c>
      <c r="B56" s="125" t="s">
        <v>388</v>
      </c>
      <c r="C56" s="122"/>
      <c r="D56" s="124">
        <v>-977.0</v>
      </c>
      <c r="E56" s="122"/>
      <c r="F56" s="122"/>
      <c r="G56" s="122"/>
      <c r="H56" s="122"/>
      <c r="I56" s="122"/>
      <c r="J56" s="122"/>
      <c r="K56" s="122"/>
      <c r="L56" s="122"/>
      <c r="M56" s="124" t="s">
        <v>72</v>
      </c>
      <c r="N56" s="124">
        <v>977.0</v>
      </c>
      <c r="O56" s="122"/>
      <c r="P56" s="122"/>
      <c r="Q56" s="122"/>
      <c r="R56" s="122"/>
      <c r="S56" s="122"/>
      <c r="T56" s="122"/>
      <c r="U56" s="122"/>
      <c r="V56" s="122"/>
      <c r="W56" s="122"/>
      <c r="X56" s="122"/>
      <c r="Y56" s="122"/>
      <c r="Z56" s="120">
        <f t="shared" si="1"/>
        <v>0</v>
      </c>
      <c r="AA56" s="122"/>
      <c r="AB56" s="122"/>
      <c r="AC56" s="122"/>
    </row>
    <row r="57">
      <c r="A57" s="157">
        <v>26.0</v>
      </c>
      <c r="B57" s="125" t="s">
        <v>363</v>
      </c>
      <c r="C57" s="122"/>
      <c r="D57" s="122"/>
      <c r="E57" s="122"/>
      <c r="F57" s="122"/>
      <c r="G57" s="122"/>
      <c r="H57" s="122"/>
      <c r="I57" s="122"/>
      <c r="J57" s="122"/>
      <c r="K57" s="122"/>
      <c r="L57" s="122"/>
      <c r="M57" s="124" t="s">
        <v>72</v>
      </c>
      <c r="N57" s="124">
        <v>7236.0</v>
      </c>
      <c r="O57" s="122"/>
      <c r="P57" s="122"/>
      <c r="Q57" s="122"/>
      <c r="R57" s="122"/>
      <c r="S57" s="122"/>
      <c r="T57" s="124">
        <v>7236.0</v>
      </c>
      <c r="U57" s="122"/>
      <c r="V57" s="122"/>
      <c r="W57" s="122"/>
      <c r="X57" s="122"/>
      <c r="Y57" s="122"/>
      <c r="Z57" s="120">
        <f t="shared" si="1"/>
        <v>0</v>
      </c>
      <c r="AA57" s="122"/>
      <c r="AB57" s="122"/>
      <c r="AC57" s="122"/>
    </row>
    <row r="58">
      <c r="A58" s="157">
        <v>26.0</v>
      </c>
      <c r="B58" s="125" t="s">
        <v>333</v>
      </c>
      <c r="C58" s="124">
        <v>-250.0</v>
      </c>
      <c r="D58" s="122"/>
      <c r="E58" s="122"/>
      <c r="F58" s="122"/>
      <c r="G58" s="122"/>
      <c r="H58" s="122"/>
      <c r="I58" s="122"/>
      <c r="J58" s="122"/>
      <c r="K58" s="122"/>
      <c r="L58" s="122"/>
      <c r="M58" s="124"/>
      <c r="N58" s="122"/>
      <c r="O58" s="122"/>
      <c r="P58" s="122"/>
      <c r="Q58" s="122"/>
      <c r="R58" s="122"/>
      <c r="S58" s="122"/>
      <c r="T58" s="124">
        <v>-250.0</v>
      </c>
      <c r="U58" s="122"/>
      <c r="V58" s="122"/>
      <c r="W58" s="122"/>
      <c r="X58" s="122"/>
      <c r="Y58" s="122"/>
      <c r="Z58" s="120">
        <f t="shared" si="1"/>
        <v>0</v>
      </c>
      <c r="AA58" s="122"/>
      <c r="AB58" s="122"/>
      <c r="AC58" s="122"/>
    </row>
    <row r="59">
      <c r="A59" s="157">
        <v>26.0</v>
      </c>
      <c r="B59" s="125" t="s">
        <v>333</v>
      </c>
      <c r="C59" s="124">
        <v>-72968.0</v>
      </c>
      <c r="D59" s="122"/>
      <c r="E59" s="122"/>
      <c r="F59" s="122"/>
      <c r="G59" s="122"/>
      <c r="H59" s="122"/>
      <c r="I59" s="122"/>
      <c r="J59" s="122"/>
      <c r="K59" s="122"/>
      <c r="L59" s="122"/>
      <c r="M59" s="122"/>
      <c r="N59" s="122"/>
      <c r="O59" s="122"/>
      <c r="P59" s="122"/>
      <c r="Q59" s="122"/>
      <c r="R59" s="122"/>
      <c r="S59" s="122"/>
      <c r="T59" s="124">
        <v>-72968.0</v>
      </c>
      <c r="U59" s="122"/>
      <c r="V59" s="122"/>
      <c r="W59" s="122"/>
      <c r="X59" s="122"/>
      <c r="Y59" s="122"/>
      <c r="Z59" s="120">
        <f t="shared" si="1"/>
        <v>0</v>
      </c>
      <c r="AA59" s="122"/>
      <c r="AB59" s="122"/>
      <c r="AC59" s="122"/>
    </row>
    <row r="60">
      <c r="A60" s="157">
        <v>27.0</v>
      </c>
      <c r="B60" s="125" t="s">
        <v>389</v>
      </c>
      <c r="C60" s="122"/>
      <c r="D60" s="124">
        <v>-200.0</v>
      </c>
      <c r="E60" s="122"/>
      <c r="F60" s="122"/>
      <c r="G60" s="122"/>
      <c r="H60" s="122"/>
      <c r="I60" s="122"/>
      <c r="J60" s="122"/>
      <c r="K60" s="122"/>
      <c r="L60" s="122"/>
      <c r="M60" s="124" t="s">
        <v>72</v>
      </c>
      <c r="N60" s="124">
        <v>200.0</v>
      </c>
      <c r="O60" s="122"/>
      <c r="P60" s="122"/>
      <c r="Q60" s="122"/>
      <c r="R60" s="122"/>
      <c r="S60" s="122"/>
      <c r="T60" s="122"/>
      <c r="U60" s="122"/>
      <c r="V60" s="122"/>
      <c r="W60" s="122"/>
      <c r="X60" s="122"/>
      <c r="Y60" s="122"/>
      <c r="Z60" s="120">
        <f t="shared" si="1"/>
        <v>0</v>
      </c>
      <c r="AA60" s="122"/>
      <c r="AB60" s="122"/>
      <c r="AC60" s="122"/>
    </row>
    <row r="61">
      <c r="A61" s="157">
        <v>27.0</v>
      </c>
      <c r="B61" s="125" t="s">
        <v>390</v>
      </c>
      <c r="C61" s="122"/>
      <c r="D61" s="122"/>
      <c r="E61" s="122"/>
      <c r="F61" s="122"/>
      <c r="G61" s="122"/>
      <c r="H61" s="122"/>
      <c r="I61" s="122"/>
      <c r="J61" s="122"/>
      <c r="K61" s="122"/>
      <c r="L61" s="122"/>
      <c r="M61" s="124" t="s">
        <v>72</v>
      </c>
      <c r="N61" s="122"/>
      <c r="O61" s="122"/>
      <c r="P61" s="124">
        <v>3023.0</v>
      </c>
      <c r="Q61" s="124">
        <v>4576.0</v>
      </c>
      <c r="R61" s="122"/>
      <c r="S61" s="122"/>
      <c r="T61" s="124">
        <v>7599.0</v>
      </c>
      <c r="U61" s="122"/>
      <c r="V61" s="122"/>
      <c r="W61" s="122"/>
      <c r="X61" s="122"/>
      <c r="Y61" s="122"/>
      <c r="Z61" s="120">
        <f t="shared" si="1"/>
        <v>0</v>
      </c>
      <c r="AA61" s="122"/>
      <c r="AB61" s="122"/>
      <c r="AC61" s="122"/>
    </row>
    <row r="62">
      <c r="A62" s="157">
        <v>27.0</v>
      </c>
      <c r="B62" s="125" t="s">
        <v>391</v>
      </c>
      <c r="C62" s="122"/>
      <c r="D62" s="122"/>
      <c r="E62" s="122"/>
      <c r="F62" s="122"/>
      <c r="G62" s="122"/>
      <c r="H62" s="122"/>
      <c r="I62" s="122"/>
      <c r="J62" s="122"/>
      <c r="K62" s="122"/>
      <c r="L62" s="122"/>
      <c r="M62" s="124" t="s">
        <v>72</v>
      </c>
      <c r="N62" s="122"/>
      <c r="O62" s="122"/>
      <c r="P62" s="124">
        <v>2139.0</v>
      </c>
      <c r="Q62" s="122"/>
      <c r="R62" s="122"/>
      <c r="S62" s="122"/>
      <c r="T62" s="124">
        <v>2139.0</v>
      </c>
      <c r="U62" s="122"/>
      <c r="V62" s="122"/>
      <c r="W62" s="122"/>
      <c r="X62" s="122"/>
      <c r="Y62" s="122"/>
      <c r="Z62" s="120">
        <f t="shared" si="1"/>
        <v>0</v>
      </c>
      <c r="AA62" s="122"/>
      <c r="AB62" s="122"/>
      <c r="AC62" s="122"/>
    </row>
    <row r="63">
      <c r="A63" s="157">
        <v>27.0</v>
      </c>
      <c r="B63" s="125" t="s">
        <v>392</v>
      </c>
      <c r="C63" s="122"/>
      <c r="D63" s="122"/>
      <c r="E63" s="122"/>
      <c r="F63" s="122"/>
      <c r="G63" s="122"/>
      <c r="H63" s="122"/>
      <c r="I63" s="122"/>
      <c r="J63" s="122"/>
      <c r="K63" s="122"/>
      <c r="L63" s="122">
        <f>63*16</f>
        <v>1008</v>
      </c>
      <c r="M63" s="122"/>
      <c r="N63" s="122"/>
      <c r="O63" s="122"/>
      <c r="P63" s="122"/>
      <c r="Q63" s="122"/>
      <c r="R63" s="122"/>
      <c r="S63" s="122"/>
      <c r="T63" s="122"/>
      <c r="U63" s="122"/>
      <c r="V63" s="122"/>
      <c r="W63" s="122"/>
      <c r="X63" s="122"/>
      <c r="Y63" s="122">
        <f>63*16</f>
        <v>1008</v>
      </c>
      <c r="Z63" s="120">
        <f t="shared" si="1"/>
        <v>0</v>
      </c>
      <c r="AA63" s="122"/>
      <c r="AB63" s="122"/>
      <c r="AC63" s="122"/>
    </row>
    <row r="64">
      <c r="A64" s="157">
        <v>28.0</v>
      </c>
      <c r="B64" s="125" t="s">
        <v>393</v>
      </c>
      <c r="C64" s="124">
        <v>148000.0</v>
      </c>
      <c r="D64" s="122"/>
      <c r="E64" s="122"/>
      <c r="F64" s="122"/>
      <c r="G64" s="122"/>
      <c r="H64" s="122"/>
      <c r="I64" s="122"/>
      <c r="J64" s="122"/>
      <c r="K64" s="122"/>
      <c r="L64" s="122"/>
      <c r="M64" s="122"/>
      <c r="N64" s="122"/>
      <c r="O64" s="122"/>
      <c r="P64" s="122"/>
      <c r="Q64" s="122"/>
      <c r="R64" s="122"/>
      <c r="S64" s="122"/>
      <c r="T64" s="122"/>
      <c r="U64" s="122"/>
      <c r="V64" s="122"/>
      <c r="W64" s="124">
        <v>148000.0</v>
      </c>
      <c r="X64" s="122"/>
      <c r="Y64" s="124"/>
      <c r="Z64" s="120">
        <f t="shared" si="1"/>
        <v>0</v>
      </c>
      <c r="AA64" s="122"/>
      <c r="AB64" s="122"/>
      <c r="AC64" s="122"/>
    </row>
    <row r="65">
      <c r="A65" s="157">
        <v>29.0</v>
      </c>
      <c r="B65" s="125" t="s">
        <v>363</v>
      </c>
      <c r="C65" s="122"/>
      <c r="D65" s="122"/>
      <c r="E65" s="122"/>
      <c r="F65" s="122"/>
      <c r="G65" s="122"/>
      <c r="H65" s="122"/>
      <c r="I65" s="122"/>
      <c r="J65" s="122"/>
      <c r="K65" s="122"/>
      <c r="L65" s="122"/>
      <c r="M65" s="124" t="s">
        <v>72</v>
      </c>
      <c r="N65" s="124">
        <v>11807.0</v>
      </c>
      <c r="O65" s="122"/>
      <c r="P65" s="122"/>
      <c r="Q65" s="122"/>
      <c r="R65" s="122"/>
      <c r="S65" s="122"/>
      <c r="T65" s="124">
        <v>11807.0</v>
      </c>
      <c r="U65" s="122"/>
      <c r="V65" s="122"/>
      <c r="W65" s="122"/>
      <c r="X65" s="122"/>
      <c r="Y65" s="122"/>
      <c r="Z65" s="120">
        <f t="shared" si="1"/>
        <v>0</v>
      </c>
      <c r="AA65" s="122"/>
      <c r="AB65" s="122"/>
      <c r="AC65" s="122"/>
    </row>
    <row r="66">
      <c r="A66" s="157">
        <v>29.0</v>
      </c>
      <c r="B66" s="125" t="s">
        <v>394</v>
      </c>
      <c r="C66" s="124">
        <v>400000.0</v>
      </c>
      <c r="D66" s="122"/>
      <c r="E66" s="122"/>
      <c r="F66" s="122"/>
      <c r="G66" s="122"/>
      <c r="H66" s="122"/>
      <c r="I66" s="122"/>
      <c r="J66" s="122"/>
      <c r="K66" s="122"/>
      <c r="L66" s="122"/>
      <c r="M66" s="122"/>
      <c r="N66" s="122"/>
      <c r="O66" s="122"/>
      <c r="P66" s="122"/>
      <c r="Q66" s="122"/>
      <c r="R66" s="122"/>
      <c r="S66" s="122"/>
      <c r="T66" s="122"/>
      <c r="U66" s="124" t="s">
        <v>0</v>
      </c>
      <c r="V66" s="124">
        <v>400000.0</v>
      </c>
      <c r="W66" s="122"/>
      <c r="X66" s="122"/>
      <c r="Y66" s="122"/>
      <c r="Z66" s="120">
        <f t="shared" si="1"/>
        <v>0</v>
      </c>
      <c r="AA66" s="122"/>
      <c r="AB66" s="122"/>
      <c r="AC66" s="122"/>
    </row>
    <row r="67">
      <c r="A67" s="157">
        <v>99.0</v>
      </c>
      <c r="B67" s="125" t="s">
        <v>395</v>
      </c>
      <c r="C67" s="122"/>
      <c r="D67" s="122"/>
      <c r="E67" s="122"/>
      <c r="F67" s="122"/>
      <c r="G67" s="122"/>
      <c r="H67" s="122"/>
      <c r="I67" s="122"/>
      <c r="J67" s="122"/>
      <c r="K67" s="122"/>
      <c r="L67" s="122"/>
      <c r="M67" s="122"/>
      <c r="N67" s="122"/>
      <c r="O67" s="122"/>
      <c r="P67" s="122"/>
      <c r="Q67" s="122"/>
      <c r="R67" s="122"/>
      <c r="S67" s="122"/>
      <c r="T67" s="122"/>
      <c r="U67" s="124" t="s">
        <v>396</v>
      </c>
      <c r="V67" s="124">
        <v>-1000.0</v>
      </c>
      <c r="W67" s="122"/>
      <c r="X67" s="122"/>
      <c r="Y67" s="124">
        <v>1000.0</v>
      </c>
      <c r="Z67" s="120">
        <f t="shared" si="1"/>
        <v>0</v>
      </c>
      <c r="AA67" s="122"/>
      <c r="AB67" s="122"/>
      <c r="AC67" s="122"/>
    </row>
    <row r="68">
      <c r="A68" s="157">
        <v>99.0</v>
      </c>
      <c r="B68" s="171" t="s">
        <v>397</v>
      </c>
      <c r="E68" s="122">
        <f>315-223</f>
        <v>92</v>
      </c>
      <c r="F68" s="122"/>
      <c r="G68" s="122"/>
      <c r="H68" s="122"/>
      <c r="I68" s="122"/>
      <c r="J68" s="122"/>
      <c r="K68" s="122"/>
      <c r="L68" s="122"/>
      <c r="M68" s="122"/>
      <c r="N68" s="122"/>
      <c r="O68" s="122"/>
      <c r="P68" s="122"/>
      <c r="Q68" s="122"/>
      <c r="R68" s="122"/>
      <c r="S68" s="122"/>
      <c r="T68" s="122"/>
      <c r="U68" s="122"/>
      <c r="V68" s="122"/>
      <c r="W68" s="122"/>
      <c r="X68" s="122"/>
      <c r="Y68" s="124">
        <v>92.0</v>
      </c>
      <c r="Z68" s="120">
        <f t="shared" si="1"/>
        <v>0</v>
      </c>
      <c r="AA68" s="122"/>
      <c r="AB68" s="122"/>
      <c r="AC68" s="122"/>
    </row>
    <row r="69">
      <c r="A69" s="157">
        <v>99.0</v>
      </c>
      <c r="B69" s="171" t="s">
        <v>398</v>
      </c>
      <c r="E69" s="122"/>
      <c r="F69" s="122"/>
      <c r="G69" s="122"/>
      <c r="H69" s="122"/>
      <c r="I69" s="122"/>
      <c r="J69" s="122"/>
      <c r="K69" s="124">
        <v>6752.0</v>
      </c>
      <c r="L69" s="122"/>
      <c r="M69" s="122"/>
      <c r="N69" s="122"/>
      <c r="O69" s="122"/>
      <c r="P69" s="122"/>
      <c r="Q69" s="122"/>
      <c r="R69" s="122"/>
      <c r="S69" s="122"/>
      <c r="T69" s="122"/>
      <c r="U69" s="122"/>
      <c r="V69" s="122"/>
      <c r="W69" s="122"/>
      <c r="X69" s="124">
        <v>6752.0</v>
      </c>
      <c r="Y69" s="122"/>
      <c r="Z69" s="120">
        <f t="shared" si="1"/>
        <v>0</v>
      </c>
      <c r="AA69" s="122"/>
      <c r="AB69" s="122"/>
      <c r="AC69" s="122"/>
    </row>
    <row r="70">
      <c r="A70" s="157">
        <v>99.0</v>
      </c>
      <c r="B70" s="125" t="s">
        <v>350</v>
      </c>
      <c r="C70" s="122"/>
      <c r="D70" s="122"/>
      <c r="E70" s="122"/>
      <c r="F70" s="122"/>
      <c r="G70" s="122"/>
      <c r="H70" s="122"/>
      <c r="I70" s="122"/>
      <c r="J70" s="122"/>
      <c r="K70" s="122"/>
      <c r="L70" s="122"/>
      <c r="M70" s="122"/>
      <c r="N70" s="122"/>
      <c r="O70" s="122"/>
      <c r="P70" s="122"/>
      <c r="Q70" s="122"/>
      <c r="R70" s="122"/>
      <c r="S70" s="122"/>
      <c r="T70" s="122"/>
      <c r="U70" s="124" t="s">
        <v>0</v>
      </c>
      <c r="V70" s="124">
        <v>-30130.0</v>
      </c>
      <c r="W70" s="122"/>
      <c r="X70" s="122"/>
      <c r="Y70" s="124">
        <v>30130.0</v>
      </c>
      <c r="Z70" s="120">
        <f t="shared" si="1"/>
        <v>0</v>
      </c>
      <c r="AA70" s="122"/>
      <c r="AB70" s="122"/>
      <c r="AC70" s="122"/>
    </row>
    <row r="71">
      <c r="A71" s="157"/>
      <c r="B71" s="125"/>
      <c r="C71" s="122"/>
      <c r="D71" s="124"/>
      <c r="E71" s="122"/>
      <c r="F71" s="122"/>
      <c r="G71" s="122"/>
      <c r="H71" s="122"/>
      <c r="I71" s="122"/>
      <c r="J71" s="122"/>
      <c r="K71" s="122"/>
      <c r="L71" s="122"/>
      <c r="M71" s="122"/>
      <c r="N71" s="122"/>
      <c r="O71" s="122"/>
      <c r="P71" s="122"/>
      <c r="Q71" s="122"/>
      <c r="R71" s="122"/>
      <c r="S71" s="122"/>
      <c r="T71" s="122"/>
      <c r="U71" s="122"/>
      <c r="V71" s="122"/>
      <c r="W71" s="122"/>
      <c r="X71" s="122"/>
      <c r="Y71" s="122"/>
      <c r="Z71" s="122"/>
      <c r="AA71" s="122"/>
      <c r="AB71" s="122"/>
      <c r="AC71" s="122"/>
    </row>
    <row r="72">
      <c r="A72" s="157"/>
      <c r="B72" s="125"/>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c r="AA72" s="122"/>
      <c r="AB72" s="122"/>
      <c r="AC72" s="122"/>
    </row>
    <row r="73">
      <c r="A73" s="113"/>
      <c r="B73" s="126"/>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c r="AA73" s="122"/>
      <c r="AB73" s="122"/>
      <c r="AC73" s="122"/>
    </row>
    <row r="74">
      <c r="A74" s="113"/>
      <c r="B74" s="126"/>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2"/>
      <c r="AC74" s="122"/>
    </row>
    <row r="75">
      <c r="A75" s="113"/>
      <c r="B75" s="126"/>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2"/>
      <c r="AC75" s="122"/>
    </row>
    <row r="76">
      <c r="A76" s="113"/>
      <c r="B76" s="122"/>
      <c r="C76" s="124"/>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c r="AB76" s="122"/>
      <c r="AC76" s="122"/>
    </row>
    <row r="77">
      <c r="A77" s="113"/>
      <c r="B77" s="124"/>
      <c r="C77" s="124"/>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2"/>
      <c r="AC77" s="122"/>
    </row>
    <row r="78">
      <c r="A78" s="113"/>
      <c r="B78" s="124"/>
      <c r="C78" s="124"/>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c r="AC78" s="122"/>
    </row>
    <row r="79">
      <c r="A79" s="113"/>
      <c r="B79" s="124"/>
      <c r="C79" s="124"/>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row>
    <row r="80">
      <c r="A80" s="113"/>
      <c r="B80" s="124"/>
      <c r="C80" s="124"/>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row>
    <row r="81">
      <c r="A81" s="113"/>
      <c r="B81" s="124"/>
      <c r="C81" s="124"/>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2"/>
      <c r="AC81" s="122"/>
    </row>
    <row r="82">
      <c r="A82" s="113"/>
      <c r="B82" s="124"/>
      <c r="C82" s="124"/>
      <c r="D82" s="34"/>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c r="AC82" s="122"/>
    </row>
    <row r="83">
      <c r="A83" s="113"/>
      <c r="B83" s="124"/>
      <c r="C83" s="124"/>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row>
    <row r="84">
      <c r="A84" s="113"/>
      <c r="B84" s="124"/>
      <c r="C84" s="124"/>
      <c r="D84" s="124"/>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row>
    <row r="85">
      <c r="A85" s="113"/>
      <c r="B85" s="124"/>
      <c r="C85" s="124"/>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row>
    <row r="86">
      <c r="A86" s="113"/>
      <c r="B86" s="124"/>
      <c r="C86" s="124"/>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row>
    <row r="87">
      <c r="A87" s="113"/>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row>
    <row r="88">
      <c r="A88" s="113"/>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row>
    <row r="89">
      <c r="A89" s="113"/>
      <c r="B89" s="125"/>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row>
    <row r="90">
      <c r="A90" s="113"/>
      <c r="B90" s="169"/>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row>
    <row r="91">
      <c r="A91" s="113"/>
      <c r="B91" s="125"/>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row>
    <row r="92">
      <c r="A92" s="113"/>
      <c r="B92" s="125"/>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row>
    <row r="93">
      <c r="A93" s="113"/>
      <c r="B93" s="125"/>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row>
    <row r="94">
      <c r="A94" s="113"/>
      <c r="B94" s="125"/>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row>
    <row r="95">
      <c r="A95" s="113"/>
      <c r="B95" s="169"/>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row>
    <row r="96">
      <c r="A96" s="113"/>
      <c r="B96" s="125"/>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row>
    <row r="97">
      <c r="A97" s="113"/>
      <c r="B97" s="125"/>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row>
    <row r="98">
      <c r="A98" s="113"/>
      <c r="B98" s="169"/>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row>
    <row r="99">
      <c r="A99" s="113"/>
      <c r="B99" s="125"/>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row>
    <row r="100">
      <c r="A100" s="113"/>
      <c r="B100" s="126"/>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row>
    <row r="101">
      <c r="A101" s="113"/>
      <c r="B101" s="126"/>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row>
    <row r="102">
      <c r="A102" s="113"/>
      <c r="B102" s="126"/>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row>
    <row r="103">
      <c r="A103" s="113"/>
      <c r="B103" s="126"/>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row>
    <row r="104">
      <c r="A104" s="113"/>
      <c r="B104" s="126"/>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row>
    <row r="105">
      <c r="A105" s="113"/>
      <c r="B105" s="126"/>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row>
    <row r="106">
      <c r="A106" s="113"/>
      <c r="B106" s="126"/>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row>
    <row r="107">
      <c r="A107" s="113"/>
      <c r="B107" s="126"/>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row>
    <row r="108">
      <c r="A108" s="113"/>
      <c r="B108" s="126"/>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row>
    <row r="109">
      <c r="A109" s="113"/>
      <c r="B109" s="126"/>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row>
    <row r="110">
      <c r="A110" s="113"/>
      <c r="B110" s="126"/>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row>
    <row r="111">
      <c r="A111" s="113"/>
      <c r="B111" s="126"/>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row>
    <row r="112">
      <c r="A112" s="113"/>
      <c r="B112" s="126"/>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row>
    <row r="113">
      <c r="A113" s="113"/>
      <c r="B113" s="126"/>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row>
    <row r="114">
      <c r="A114" s="113"/>
      <c r="B114" s="126"/>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row>
    <row r="115">
      <c r="A115" s="113"/>
      <c r="B115" s="126"/>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row>
    <row r="116">
      <c r="A116" s="113"/>
      <c r="B116" s="126"/>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row>
    <row r="117">
      <c r="A117" s="113"/>
      <c r="B117" s="126"/>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row>
    <row r="118">
      <c r="A118" s="113"/>
      <c r="B118" s="126"/>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row>
    <row r="119">
      <c r="A119" s="113"/>
      <c r="B119" s="126"/>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row>
    <row r="120">
      <c r="A120" s="113"/>
      <c r="B120" s="126"/>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row>
    <row r="121">
      <c r="A121" s="113"/>
      <c r="B121" s="126"/>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row>
    <row r="122">
      <c r="A122" s="113"/>
      <c r="B122" s="126"/>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row>
    <row r="123">
      <c r="A123" s="113"/>
      <c r="B123" s="126"/>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row>
    <row r="124">
      <c r="A124" s="113"/>
      <c r="B124" s="126"/>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row>
    <row r="125">
      <c r="A125" s="113"/>
      <c r="B125" s="126"/>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row>
    <row r="126">
      <c r="A126" s="113"/>
      <c r="B126" s="126"/>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row>
    <row r="127">
      <c r="A127" s="113"/>
      <c r="B127" s="126"/>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row>
    <row r="128">
      <c r="A128" s="113"/>
      <c r="B128" s="126"/>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row>
    <row r="129">
      <c r="A129" s="113"/>
      <c r="B129" s="126"/>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row>
    <row r="130">
      <c r="A130" s="113"/>
      <c r="B130" s="126"/>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row>
    <row r="131">
      <c r="A131" s="113"/>
      <c r="B131" s="126"/>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row>
    <row r="132">
      <c r="A132" s="113"/>
      <c r="B132" s="126"/>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row>
    <row r="133">
      <c r="A133" s="113"/>
      <c r="B133" s="126"/>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row>
    <row r="134">
      <c r="A134" s="113"/>
      <c r="B134" s="126"/>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row>
    <row r="135">
      <c r="A135" s="113"/>
      <c r="B135" s="126"/>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row>
    <row r="136">
      <c r="A136" s="113"/>
      <c r="B136" s="126"/>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row>
    <row r="137">
      <c r="A137" s="113"/>
      <c r="B137" s="126"/>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row>
    <row r="138">
      <c r="A138" s="113"/>
      <c r="B138" s="126"/>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row>
    <row r="139">
      <c r="A139" s="113"/>
      <c r="B139" s="126"/>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row>
    <row r="140">
      <c r="A140" s="113"/>
      <c r="B140" s="126"/>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row>
    <row r="141">
      <c r="A141" s="113"/>
      <c r="B141" s="126"/>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row>
    <row r="142">
      <c r="A142" s="113"/>
      <c r="B142" s="126"/>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row>
    <row r="143">
      <c r="A143" s="113"/>
      <c r="B143" s="126"/>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row>
    <row r="144">
      <c r="A144" s="113"/>
      <c r="B144" s="126"/>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row>
    <row r="145">
      <c r="A145" s="113"/>
      <c r="B145" s="126"/>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row>
    <row r="146">
      <c r="A146" s="113"/>
      <c r="B146" s="126"/>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row>
    <row r="147">
      <c r="A147" s="113"/>
      <c r="B147" s="126"/>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row>
    <row r="148">
      <c r="A148" s="113"/>
      <c r="B148" s="126"/>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row>
    <row r="149">
      <c r="A149" s="113"/>
      <c r="B149" s="126"/>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row>
    <row r="150">
      <c r="A150" s="113"/>
      <c r="B150" s="126"/>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row>
    <row r="151">
      <c r="A151" s="113"/>
      <c r="B151" s="126"/>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row>
    <row r="152">
      <c r="A152" s="113"/>
      <c r="B152" s="126"/>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row>
    <row r="153">
      <c r="A153" s="113"/>
      <c r="B153" s="126"/>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row>
    <row r="154">
      <c r="A154" s="113"/>
      <c r="B154" s="126"/>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row>
    <row r="155">
      <c r="A155" s="113"/>
      <c r="B155" s="126"/>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row>
    <row r="156">
      <c r="A156" s="113"/>
      <c r="B156" s="126"/>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row>
    <row r="157">
      <c r="A157" s="113"/>
      <c r="B157" s="126"/>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row>
    <row r="158">
      <c r="A158" s="113"/>
      <c r="B158" s="126"/>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row>
    <row r="159">
      <c r="A159" s="113"/>
      <c r="B159" s="126"/>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row>
    <row r="160">
      <c r="A160" s="113"/>
      <c r="B160" s="126"/>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row>
    <row r="161">
      <c r="A161" s="113"/>
      <c r="B161" s="126"/>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row>
    <row r="162">
      <c r="A162" s="113"/>
      <c r="B162" s="126"/>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row>
    <row r="163">
      <c r="A163" s="113"/>
      <c r="B163" s="126"/>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row>
    <row r="164">
      <c r="A164" s="113"/>
      <c r="B164" s="126"/>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row>
    <row r="165">
      <c r="A165" s="113"/>
      <c r="B165" s="126"/>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row>
    <row r="166">
      <c r="A166" s="113"/>
      <c r="B166" s="126"/>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row>
    <row r="167">
      <c r="A167" s="113"/>
      <c r="B167" s="126"/>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row>
    <row r="168">
      <c r="A168" s="113"/>
      <c r="B168" s="126"/>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row>
    <row r="169">
      <c r="A169" s="113"/>
      <c r="B169" s="126"/>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row>
    <row r="170">
      <c r="A170" s="113"/>
      <c r="B170" s="126"/>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row>
    <row r="171">
      <c r="A171" s="113"/>
      <c r="B171" s="126"/>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row>
    <row r="172">
      <c r="A172" s="113"/>
      <c r="B172" s="126"/>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row>
    <row r="173">
      <c r="A173" s="113"/>
      <c r="B173" s="126"/>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row>
    <row r="174">
      <c r="A174" s="113"/>
      <c r="B174" s="126"/>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row>
    <row r="175">
      <c r="A175" s="113"/>
      <c r="B175" s="126"/>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row>
    <row r="176">
      <c r="A176" s="113"/>
      <c r="B176" s="126"/>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row>
    <row r="177">
      <c r="A177" s="113"/>
      <c r="B177" s="126"/>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row>
    <row r="178">
      <c r="A178" s="113"/>
      <c r="B178" s="126"/>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row>
    <row r="179">
      <c r="A179" s="113"/>
      <c r="B179" s="126"/>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row>
    <row r="180">
      <c r="A180" s="113"/>
      <c r="B180" s="126"/>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row>
    <row r="181">
      <c r="A181" s="113"/>
      <c r="B181" s="126"/>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row>
    <row r="182">
      <c r="A182" s="113"/>
      <c r="B182" s="126"/>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row>
    <row r="183">
      <c r="A183" s="113"/>
      <c r="B183" s="126"/>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row>
    <row r="184">
      <c r="A184" s="113"/>
      <c r="B184" s="126"/>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row>
    <row r="185">
      <c r="A185" s="113"/>
      <c r="B185" s="126"/>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row>
    <row r="186">
      <c r="A186" s="113"/>
      <c r="B186" s="126"/>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row>
    <row r="187">
      <c r="A187" s="113"/>
      <c r="B187" s="126"/>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row>
    <row r="188">
      <c r="A188" s="113"/>
      <c r="B188" s="126"/>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row>
    <row r="189">
      <c r="A189" s="113"/>
      <c r="B189" s="126"/>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row>
    <row r="190">
      <c r="A190" s="113"/>
      <c r="B190" s="126"/>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row>
    <row r="191">
      <c r="A191" s="113"/>
      <c r="B191" s="126"/>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row>
    <row r="192">
      <c r="A192" s="113"/>
      <c r="B192" s="126"/>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row>
    <row r="193">
      <c r="A193" s="113"/>
      <c r="B193" s="126"/>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row>
    <row r="194">
      <c r="A194" s="113"/>
      <c r="B194" s="126"/>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row>
    <row r="195">
      <c r="A195" s="113"/>
      <c r="B195" s="126"/>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row>
    <row r="196">
      <c r="A196" s="113"/>
      <c r="B196" s="126"/>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row>
    <row r="197">
      <c r="A197" s="113"/>
      <c r="B197" s="126"/>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row>
    <row r="198">
      <c r="A198" s="113"/>
      <c r="B198" s="126"/>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row>
    <row r="199">
      <c r="A199" s="113"/>
      <c r="B199" s="126"/>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row>
    <row r="200">
      <c r="A200" s="113"/>
      <c r="B200" s="126"/>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row>
    <row r="201">
      <c r="A201" s="113"/>
      <c r="B201" s="126"/>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row>
    <row r="202">
      <c r="A202" s="113"/>
      <c r="B202" s="126"/>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row>
    <row r="203">
      <c r="A203" s="113"/>
      <c r="B203" s="126"/>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row>
    <row r="204">
      <c r="A204" s="113"/>
      <c r="B204" s="126"/>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row>
    <row r="205">
      <c r="A205" s="113"/>
      <c r="B205" s="126"/>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row>
    <row r="206">
      <c r="A206" s="113"/>
      <c r="B206" s="126"/>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row>
    <row r="207">
      <c r="A207" s="113"/>
      <c r="B207" s="126"/>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row>
    <row r="208">
      <c r="A208" s="113"/>
      <c r="B208" s="126"/>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row>
    <row r="209">
      <c r="A209" s="113"/>
      <c r="B209" s="126"/>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row>
    <row r="210">
      <c r="A210" s="113"/>
      <c r="B210" s="126"/>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row>
    <row r="211">
      <c r="A211" s="113"/>
      <c r="B211" s="126"/>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row>
    <row r="212">
      <c r="A212" s="113"/>
      <c r="B212" s="126"/>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row>
    <row r="213">
      <c r="A213" s="113"/>
      <c r="B213" s="126"/>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row>
    <row r="214">
      <c r="A214" s="113"/>
      <c r="B214" s="126"/>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row>
    <row r="215">
      <c r="A215" s="113"/>
      <c r="B215" s="126"/>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row>
    <row r="216">
      <c r="A216" s="113"/>
      <c r="B216" s="126"/>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row>
    <row r="217">
      <c r="A217" s="113"/>
      <c r="B217" s="126"/>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row>
    <row r="218">
      <c r="A218" s="113"/>
      <c r="B218" s="126"/>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row>
    <row r="219">
      <c r="A219" s="113"/>
      <c r="B219" s="126"/>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row>
    <row r="220">
      <c r="A220" s="113"/>
      <c r="B220" s="126"/>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row>
    <row r="221">
      <c r="A221" s="113"/>
      <c r="B221" s="126"/>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row>
    <row r="222">
      <c r="A222" s="113"/>
      <c r="B222" s="126"/>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row>
    <row r="223">
      <c r="A223" s="113"/>
      <c r="B223" s="126"/>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row>
    <row r="224">
      <c r="A224" s="113"/>
      <c r="B224" s="126"/>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row>
    <row r="225">
      <c r="A225" s="113"/>
      <c r="B225" s="126"/>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row>
    <row r="226">
      <c r="A226" s="113"/>
      <c r="B226" s="126"/>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row>
    <row r="227">
      <c r="A227" s="113"/>
      <c r="B227" s="126"/>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row>
    <row r="228">
      <c r="A228" s="113"/>
      <c r="B228" s="126"/>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row>
    <row r="229">
      <c r="A229" s="113"/>
      <c r="B229" s="126"/>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row>
    <row r="230">
      <c r="A230" s="113"/>
      <c r="B230" s="126"/>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row>
    <row r="231">
      <c r="A231" s="113"/>
      <c r="B231" s="126"/>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row>
    <row r="232">
      <c r="A232" s="113"/>
      <c r="B232" s="126"/>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row>
    <row r="233">
      <c r="A233" s="113"/>
      <c r="B233" s="126"/>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row>
    <row r="234">
      <c r="A234" s="113"/>
      <c r="B234" s="126"/>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row>
    <row r="235">
      <c r="A235" s="113"/>
      <c r="B235" s="126"/>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row>
    <row r="236">
      <c r="A236" s="113"/>
      <c r="B236" s="126"/>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row>
    <row r="237">
      <c r="A237" s="113"/>
      <c r="B237" s="126"/>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row>
    <row r="238">
      <c r="A238" s="113"/>
      <c r="B238" s="126"/>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row>
    <row r="239">
      <c r="A239" s="113"/>
      <c r="B239" s="126"/>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row>
    <row r="240">
      <c r="A240" s="113"/>
      <c r="B240" s="126"/>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row>
    <row r="241">
      <c r="A241" s="113"/>
      <c r="B241" s="126"/>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row>
    <row r="242">
      <c r="A242" s="113"/>
      <c r="B242" s="126"/>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row>
    <row r="243">
      <c r="A243" s="113"/>
      <c r="B243" s="126"/>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row>
    <row r="244">
      <c r="A244" s="113"/>
      <c r="B244" s="126"/>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row>
    <row r="245">
      <c r="A245" s="113"/>
      <c r="B245" s="126"/>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row>
    <row r="246">
      <c r="A246" s="113"/>
      <c r="B246" s="126"/>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row>
    <row r="247">
      <c r="A247" s="113"/>
      <c r="B247" s="126"/>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row>
    <row r="248">
      <c r="A248" s="113"/>
      <c r="B248" s="126"/>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row>
    <row r="249">
      <c r="A249" s="113"/>
      <c r="B249" s="126"/>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row>
    <row r="250">
      <c r="A250" s="113"/>
      <c r="B250" s="126"/>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row>
    <row r="251">
      <c r="A251" s="113"/>
      <c r="B251" s="126"/>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row>
    <row r="252">
      <c r="A252" s="113"/>
      <c r="B252" s="126"/>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row>
    <row r="253">
      <c r="A253" s="113"/>
      <c r="B253" s="126"/>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row>
    <row r="254">
      <c r="A254" s="113"/>
      <c r="B254" s="126"/>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row>
    <row r="255">
      <c r="A255" s="113"/>
      <c r="B255" s="126"/>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row>
    <row r="256">
      <c r="A256" s="113"/>
      <c r="B256" s="126"/>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row>
    <row r="257">
      <c r="A257" s="113"/>
      <c r="B257" s="126"/>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row>
    <row r="258">
      <c r="A258" s="113"/>
      <c r="B258" s="126"/>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row>
    <row r="259">
      <c r="A259" s="113"/>
      <c r="B259" s="126"/>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row>
    <row r="260">
      <c r="A260" s="113"/>
      <c r="B260" s="126"/>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row>
    <row r="261">
      <c r="A261" s="113"/>
      <c r="B261" s="126"/>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row>
    <row r="262">
      <c r="A262" s="113"/>
      <c r="B262" s="126"/>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row>
    <row r="263">
      <c r="A263" s="113"/>
      <c r="B263" s="126"/>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row>
    <row r="264">
      <c r="A264" s="113"/>
      <c r="B264" s="126"/>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row>
    <row r="265">
      <c r="A265" s="113"/>
      <c r="B265" s="126"/>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row>
    <row r="266">
      <c r="A266" s="113"/>
      <c r="B266" s="126"/>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row>
    <row r="267">
      <c r="A267" s="113"/>
      <c r="B267" s="126"/>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row>
    <row r="268">
      <c r="A268" s="113"/>
      <c r="B268" s="126"/>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row>
    <row r="269">
      <c r="A269" s="113"/>
      <c r="B269" s="126"/>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row>
    <row r="270">
      <c r="A270" s="113"/>
      <c r="B270" s="126"/>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row>
    <row r="271">
      <c r="A271" s="113"/>
      <c r="B271" s="126"/>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row>
    <row r="272">
      <c r="A272" s="113"/>
      <c r="B272" s="126"/>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row>
    <row r="273">
      <c r="A273" s="113"/>
      <c r="B273" s="126"/>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row>
    <row r="274">
      <c r="A274" s="113"/>
      <c r="B274" s="126"/>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row>
    <row r="275">
      <c r="A275" s="113"/>
      <c r="B275" s="126"/>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row>
    <row r="276">
      <c r="A276" s="113"/>
      <c r="B276" s="126"/>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row>
    <row r="277">
      <c r="A277" s="113"/>
      <c r="B277" s="126"/>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row>
    <row r="278">
      <c r="A278" s="113"/>
      <c r="B278" s="126"/>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row>
    <row r="279">
      <c r="A279" s="113"/>
      <c r="B279" s="126"/>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row>
    <row r="280">
      <c r="A280" s="113"/>
      <c r="B280" s="126"/>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row>
    <row r="281">
      <c r="A281" s="113"/>
      <c r="B281" s="126"/>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row>
    <row r="282">
      <c r="A282" s="113"/>
      <c r="B282" s="126"/>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row>
    <row r="283">
      <c r="A283" s="113"/>
      <c r="B283" s="126"/>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row>
    <row r="284">
      <c r="A284" s="113"/>
      <c r="B284" s="126"/>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row>
    <row r="285">
      <c r="A285" s="113"/>
      <c r="B285" s="126"/>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row>
    <row r="286">
      <c r="A286" s="113"/>
      <c r="B286" s="126"/>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row>
    <row r="287">
      <c r="A287" s="113"/>
      <c r="B287" s="126"/>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row>
    <row r="288">
      <c r="A288" s="113"/>
      <c r="B288" s="126"/>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row>
    <row r="289">
      <c r="A289" s="113"/>
      <c r="B289" s="126"/>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row>
    <row r="290">
      <c r="A290" s="113"/>
      <c r="B290" s="126"/>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row>
    <row r="291">
      <c r="A291" s="113"/>
      <c r="B291" s="126"/>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row>
    <row r="292">
      <c r="A292" s="113"/>
      <c r="B292" s="126"/>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row>
    <row r="293">
      <c r="A293" s="113"/>
      <c r="B293" s="126"/>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row>
    <row r="294">
      <c r="A294" s="113"/>
      <c r="B294" s="126"/>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row>
    <row r="295">
      <c r="A295" s="113"/>
      <c r="B295" s="126"/>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row>
    <row r="296">
      <c r="A296" s="113"/>
      <c r="B296" s="126"/>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row>
    <row r="297">
      <c r="A297" s="113"/>
      <c r="B297" s="126"/>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row>
    <row r="298">
      <c r="A298" s="113"/>
      <c r="B298" s="126"/>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row>
    <row r="299">
      <c r="A299" s="113"/>
      <c r="B299" s="126"/>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row>
    <row r="300">
      <c r="A300" s="113"/>
      <c r="B300" s="126"/>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row>
    <row r="301">
      <c r="A301" s="113"/>
      <c r="B301" s="126"/>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row>
    <row r="302">
      <c r="A302" s="113"/>
      <c r="B302" s="126"/>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row>
    <row r="303">
      <c r="A303" s="113"/>
      <c r="B303" s="126"/>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row>
    <row r="304">
      <c r="A304" s="113"/>
      <c r="B304" s="126"/>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row>
    <row r="305">
      <c r="A305" s="113"/>
      <c r="B305" s="126"/>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row>
    <row r="306">
      <c r="A306" s="113"/>
      <c r="B306" s="126"/>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row>
    <row r="307">
      <c r="A307" s="113"/>
      <c r="B307" s="126"/>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row>
    <row r="308">
      <c r="A308" s="113"/>
      <c r="B308" s="126"/>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row>
    <row r="309">
      <c r="A309" s="113"/>
      <c r="B309" s="126"/>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row>
    <row r="310">
      <c r="A310" s="113"/>
      <c r="B310" s="126"/>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row>
    <row r="311">
      <c r="A311" s="113"/>
      <c r="B311" s="126"/>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row>
    <row r="312">
      <c r="A312" s="113"/>
      <c r="B312" s="126"/>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row>
    <row r="313">
      <c r="A313" s="113"/>
      <c r="B313" s="126"/>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row>
    <row r="314">
      <c r="A314" s="113"/>
      <c r="B314" s="126"/>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row>
    <row r="315">
      <c r="A315" s="113"/>
      <c r="B315" s="126"/>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row>
    <row r="316">
      <c r="A316" s="113"/>
      <c r="B316" s="126"/>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row>
    <row r="317">
      <c r="A317" s="113"/>
      <c r="B317" s="126"/>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row>
    <row r="318">
      <c r="A318" s="113"/>
      <c r="B318" s="126"/>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row>
    <row r="319">
      <c r="A319" s="113"/>
      <c r="B319" s="126"/>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row>
    <row r="320">
      <c r="A320" s="113"/>
      <c r="B320" s="126"/>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row>
    <row r="321">
      <c r="A321" s="113"/>
      <c r="B321" s="126"/>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row>
    <row r="322">
      <c r="A322" s="113"/>
      <c r="B322" s="126"/>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row>
    <row r="323">
      <c r="A323" s="113"/>
      <c r="B323" s="126"/>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row>
    <row r="324">
      <c r="A324" s="113"/>
      <c r="B324" s="126"/>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row>
    <row r="325">
      <c r="A325" s="113"/>
      <c r="B325" s="126"/>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row>
    <row r="326">
      <c r="A326" s="113"/>
      <c r="B326" s="126"/>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row>
    <row r="327">
      <c r="A327" s="113"/>
      <c r="B327" s="126"/>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row>
    <row r="328">
      <c r="A328" s="113"/>
      <c r="B328" s="126"/>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row>
    <row r="329">
      <c r="A329" s="113"/>
      <c r="B329" s="126"/>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row>
    <row r="330">
      <c r="A330" s="113"/>
      <c r="B330" s="126"/>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row>
    <row r="331">
      <c r="A331" s="113"/>
      <c r="B331" s="126"/>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row>
    <row r="332">
      <c r="A332" s="113"/>
      <c r="B332" s="126"/>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row>
    <row r="333">
      <c r="A333" s="113"/>
      <c r="B333" s="126"/>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row>
    <row r="334">
      <c r="A334" s="113"/>
      <c r="B334" s="126"/>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row>
    <row r="335">
      <c r="A335" s="113"/>
      <c r="B335" s="126"/>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row>
    <row r="336">
      <c r="A336" s="113"/>
      <c r="B336" s="126"/>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row>
    <row r="337">
      <c r="A337" s="113"/>
      <c r="B337" s="126"/>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row>
    <row r="338">
      <c r="A338" s="113"/>
      <c r="B338" s="126"/>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row>
    <row r="339">
      <c r="A339" s="113"/>
      <c r="B339" s="126"/>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row>
    <row r="340">
      <c r="A340" s="113"/>
      <c r="B340" s="126"/>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row>
    <row r="341">
      <c r="A341" s="113"/>
      <c r="B341" s="126"/>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row>
    <row r="342">
      <c r="A342" s="113"/>
      <c r="B342" s="126"/>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row>
    <row r="343">
      <c r="A343" s="113"/>
      <c r="B343" s="126"/>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row>
    <row r="344">
      <c r="A344" s="113"/>
      <c r="B344" s="126"/>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row>
    <row r="345">
      <c r="A345" s="113"/>
      <c r="B345" s="126"/>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row>
    <row r="346">
      <c r="A346" s="113"/>
      <c r="B346" s="126"/>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row>
    <row r="347">
      <c r="A347" s="113"/>
      <c r="B347" s="126"/>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row>
    <row r="348">
      <c r="A348" s="113"/>
      <c r="B348" s="126"/>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row>
    <row r="349">
      <c r="A349" s="113"/>
      <c r="B349" s="126"/>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row>
    <row r="350">
      <c r="A350" s="113"/>
      <c r="B350" s="126"/>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row>
    <row r="351">
      <c r="A351" s="113"/>
      <c r="B351" s="126"/>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row>
    <row r="352">
      <c r="A352" s="113"/>
      <c r="B352" s="126"/>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row>
    <row r="353">
      <c r="A353" s="113"/>
      <c r="B353" s="126"/>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row>
    <row r="354">
      <c r="A354" s="113"/>
      <c r="B354" s="126"/>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row>
    <row r="355">
      <c r="A355" s="113"/>
      <c r="B355" s="126"/>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row>
    <row r="356">
      <c r="A356" s="113"/>
      <c r="B356" s="126"/>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row>
    <row r="357">
      <c r="A357" s="113"/>
      <c r="B357" s="126"/>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row>
    <row r="358">
      <c r="A358" s="113"/>
      <c r="B358" s="126"/>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row>
    <row r="359">
      <c r="A359" s="113"/>
      <c r="B359" s="126"/>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row>
    <row r="360">
      <c r="A360" s="113"/>
      <c r="B360" s="126"/>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row>
    <row r="361">
      <c r="A361" s="113"/>
      <c r="B361" s="126"/>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row>
    <row r="362">
      <c r="A362" s="113"/>
      <c r="B362" s="126"/>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row>
    <row r="363">
      <c r="A363" s="113"/>
      <c r="B363" s="126"/>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row>
    <row r="364">
      <c r="A364" s="113"/>
      <c r="B364" s="126"/>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row>
    <row r="365">
      <c r="A365" s="113"/>
      <c r="B365" s="126"/>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row>
    <row r="366">
      <c r="A366" s="113"/>
      <c r="B366" s="126"/>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row>
    <row r="367">
      <c r="A367" s="113"/>
      <c r="B367" s="126"/>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row>
    <row r="368">
      <c r="A368" s="113"/>
      <c r="B368" s="126"/>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row>
    <row r="369">
      <c r="A369" s="113"/>
      <c r="B369" s="126"/>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row>
    <row r="370">
      <c r="A370" s="113"/>
      <c r="B370" s="126"/>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row>
    <row r="371">
      <c r="A371" s="113"/>
      <c r="B371" s="126"/>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row>
    <row r="372">
      <c r="A372" s="113"/>
      <c r="B372" s="126"/>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row>
    <row r="373">
      <c r="A373" s="113"/>
      <c r="B373" s="126"/>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row>
    <row r="374">
      <c r="A374" s="113"/>
      <c r="B374" s="126"/>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row>
    <row r="375">
      <c r="A375" s="113"/>
      <c r="B375" s="126"/>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row>
    <row r="376">
      <c r="A376" s="113"/>
      <c r="B376" s="126"/>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row>
    <row r="377">
      <c r="A377" s="113"/>
      <c r="B377" s="126"/>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row>
    <row r="378">
      <c r="A378" s="113"/>
      <c r="B378" s="126"/>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row>
    <row r="379">
      <c r="A379" s="113"/>
      <c r="B379" s="126"/>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row>
    <row r="380">
      <c r="A380" s="113"/>
      <c r="B380" s="126"/>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row>
    <row r="381">
      <c r="A381" s="113"/>
      <c r="B381" s="126"/>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row>
    <row r="382">
      <c r="A382" s="113"/>
      <c r="B382" s="126"/>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row>
    <row r="383">
      <c r="A383" s="113"/>
      <c r="B383" s="126"/>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row>
    <row r="384">
      <c r="A384" s="113"/>
      <c r="B384" s="126"/>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row>
    <row r="385">
      <c r="A385" s="113"/>
      <c r="B385" s="126"/>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row>
    <row r="386">
      <c r="A386" s="113"/>
      <c r="B386" s="126"/>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row>
    <row r="387">
      <c r="A387" s="113"/>
      <c r="B387" s="126"/>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row>
    <row r="388">
      <c r="A388" s="113"/>
      <c r="B388" s="126"/>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row>
    <row r="389">
      <c r="A389" s="113"/>
      <c r="B389" s="126"/>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row>
    <row r="390">
      <c r="A390" s="113"/>
      <c r="B390" s="126"/>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row>
    <row r="391">
      <c r="A391" s="113"/>
      <c r="B391" s="126"/>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row>
    <row r="392">
      <c r="A392" s="113"/>
      <c r="B392" s="126"/>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row>
    <row r="393">
      <c r="A393" s="113"/>
      <c r="B393" s="126"/>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row>
    <row r="394">
      <c r="A394" s="113"/>
      <c r="B394" s="126"/>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row>
    <row r="395">
      <c r="A395" s="113"/>
      <c r="B395" s="126"/>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row>
    <row r="396">
      <c r="A396" s="113"/>
      <c r="B396" s="126"/>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row>
    <row r="397">
      <c r="A397" s="113"/>
      <c r="B397" s="126"/>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row>
    <row r="398">
      <c r="A398" s="113"/>
      <c r="B398" s="126"/>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row>
    <row r="399">
      <c r="A399" s="113"/>
      <c r="B399" s="126"/>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row>
    <row r="400">
      <c r="A400" s="113"/>
      <c r="B400" s="126"/>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row>
    <row r="401">
      <c r="A401" s="113"/>
      <c r="B401" s="126"/>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row>
    <row r="402">
      <c r="A402" s="113"/>
      <c r="B402" s="126"/>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row>
    <row r="403">
      <c r="A403" s="113"/>
      <c r="B403" s="126"/>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row>
    <row r="404">
      <c r="A404" s="113"/>
      <c r="B404" s="126"/>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row>
    <row r="405">
      <c r="A405" s="113"/>
      <c r="B405" s="126"/>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row>
    <row r="406">
      <c r="A406" s="113"/>
      <c r="B406" s="126"/>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row>
    <row r="407">
      <c r="A407" s="113"/>
      <c r="B407" s="126"/>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row>
    <row r="408">
      <c r="A408" s="113"/>
      <c r="B408" s="126"/>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row>
    <row r="409">
      <c r="A409" s="113"/>
      <c r="B409" s="126"/>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row>
    <row r="410">
      <c r="A410" s="113"/>
      <c r="B410" s="126"/>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row>
    <row r="411">
      <c r="A411" s="113"/>
      <c r="B411" s="126"/>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row>
    <row r="412">
      <c r="A412" s="113"/>
      <c r="B412" s="126"/>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row>
    <row r="413">
      <c r="A413" s="113"/>
      <c r="B413" s="126"/>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row>
    <row r="414">
      <c r="A414" s="113"/>
      <c r="B414" s="126"/>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row>
    <row r="415">
      <c r="A415" s="113"/>
      <c r="B415" s="126"/>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row>
    <row r="416">
      <c r="A416" s="113"/>
      <c r="B416" s="126"/>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row>
    <row r="417">
      <c r="A417" s="113"/>
      <c r="B417" s="126"/>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row>
    <row r="418">
      <c r="A418" s="113"/>
      <c r="B418" s="126"/>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row>
    <row r="419">
      <c r="A419" s="113"/>
      <c r="B419" s="126"/>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row>
    <row r="420">
      <c r="A420" s="113"/>
      <c r="B420" s="126"/>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row>
    <row r="421">
      <c r="A421" s="113"/>
      <c r="B421" s="126"/>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row>
    <row r="422">
      <c r="A422" s="113"/>
      <c r="B422" s="126"/>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row>
    <row r="423">
      <c r="A423" s="113"/>
      <c r="B423" s="126"/>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row>
    <row r="424">
      <c r="A424" s="113"/>
      <c r="B424" s="126"/>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row>
    <row r="425">
      <c r="A425" s="113"/>
      <c r="B425" s="126"/>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row>
    <row r="426">
      <c r="A426" s="113"/>
      <c r="B426" s="126"/>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row>
    <row r="427">
      <c r="A427" s="113"/>
      <c r="B427" s="126"/>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row>
    <row r="428">
      <c r="A428" s="113"/>
      <c r="B428" s="126"/>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row>
    <row r="429">
      <c r="A429" s="113"/>
      <c r="B429" s="126"/>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row>
    <row r="430">
      <c r="A430" s="113"/>
      <c r="B430" s="126"/>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row>
    <row r="431">
      <c r="A431" s="113"/>
      <c r="B431" s="126"/>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row>
    <row r="432">
      <c r="A432" s="113"/>
      <c r="B432" s="126"/>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row>
    <row r="433">
      <c r="A433" s="113"/>
      <c r="B433" s="126"/>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row>
    <row r="434">
      <c r="A434" s="113"/>
      <c r="B434" s="126"/>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row>
    <row r="435">
      <c r="A435" s="113"/>
      <c r="B435" s="126"/>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row>
    <row r="436">
      <c r="A436" s="113"/>
      <c r="B436" s="126"/>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row>
    <row r="437">
      <c r="A437" s="113"/>
      <c r="B437" s="126"/>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row>
    <row r="438">
      <c r="A438" s="113"/>
      <c r="B438" s="126"/>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row>
    <row r="439">
      <c r="A439" s="113"/>
      <c r="B439" s="126"/>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row>
    <row r="440">
      <c r="A440" s="113"/>
      <c r="B440" s="126"/>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row>
    <row r="441">
      <c r="A441" s="113"/>
      <c r="B441" s="126"/>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row>
    <row r="442">
      <c r="A442" s="113"/>
      <c r="B442" s="126"/>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row>
    <row r="443">
      <c r="A443" s="113"/>
      <c r="B443" s="126"/>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row>
    <row r="444">
      <c r="A444" s="113"/>
      <c r="B444" s="126"/>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row>
    <row r="445">
      <c r="A445" s="113"/>
      <c r="B445" s="126"/>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row>
    <row r="446">
      <c r="A446" s="113"/>
      <c r="B446" s="126"/>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row>
    <row r="447">
      <c r="A447" s="113"/>
      <c r="B447" s="126"/>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row>
    <row r="448">
      <c r="A448" s="113"/>
      <c r="B448" s="126"/>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row>
    <row r="449">
      <c r="A449" s="113"/>
      <c r="B449" s="126"/>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row>
    <row r="450">
      <c r="A450" s="113"/>
      <c r="B450" s="126"/>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row>
    <row r="451">
      <c r="A451" s="113"/>
      <c r="B451" s="126"/>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row>
    <row r="452">
      <c r="A452" s="113"/>
      <c r="B452" s="126"/>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row>
    <row r="453">
      <c r="A453" s="113"/>
      <c r="B453" s="126"/>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row>
    <row r="454">
      <c r="A454" s="113"/>
      <c r="B454" s="126"/>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row>
    <row r="455">
      <c r="A455" s="113"/>
      <c r="B455" s="126"/>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row>
    <row r="456">
      <c r="A456" s="113"/>
      <c r="B456" s="126"/>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row>
    <row r="457">
      <c r="A457" s="113"/>
      <c r="B457" s="126"/>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row>
    <row r="458">
      <c r="A458" s="113"/>
      <c r="B458" s="126"/>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row>
    <row r="459">
      <c r="A459" s="113"/>
      <c r="B459" s="126"/>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row>
    <row r="460">
      <c r="A460" s="113"/>
      <c r="B460" s="126"/>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row>
    <row r="461">
      <c r="A461" s="113"/>
      <c r="B461" s="126"/>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row>
    <row r="462">
      <c r="A462" s="113"/>
      <c r="B462" s="126"/>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row>
    <row r="463">
      <c r="A463" s="113"/>
      <c r="B463" s="126"/>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row>
    <row r="464">
      <c r="A464" s="113"/>
      <c r="B464" s="126"/>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row>
    <row r="465">
      <c r="A465" s="113"/>
      <c r="B465" s="126"/>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row>
    <row r="466">
      <c r="A466" s="113"/>
      <c r="B466" s="126"/>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row>
    <row r="467">
      <c r="A467" s="113"/>
      <c r="B467" s="126"/>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row>
    <row r="468">
      <c r="A468" s="113"/>
      <c r="B468" s="126"/>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row>
    <row r="469">
      <c r="A469" s="113"/>
      <c r="B469" s="126"/>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row>
    <row r="470">
      <c r="A470" s="113"/>
      <c r="B470" s="126"/>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row>
    <row r="471">
      <c r="A471" s="113"/>
      <c r="B471" s="126"/>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row>
    <row r="472">
      <c r="A472" s="113"/>
      <c r="B472" s="126"/>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row>
    <row r="473">
      <c r="A473" s="113"/>
      <c r="B473" s="126"/>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row>
    <row r="474">
      <c r="A474" s="113"/>
      <c r="B474" s="126"/>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row>
    <row r="475">
      <c r="A475" s="113"/>
      <c r="B475" s="126"/>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row>
    <row r="476">
      <c r="A476" s="113"/>
      <c r="B476" s="126"/>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row>
    <row r="477">
      <c r="A477" s="113"/>
      <c r="B477" s="126"/>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row>
    <row r="478">
      <c r="A478" s="113"/>
      <c r="B478" s="126"/>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row>
    <row r="479">
      <c r="A479" s="113"/>
      <c r="B479" s="126"/>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row>
    <row r="480">
      <c r="A480" s="113"/>
      <c r="B480" s="126"/>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row>
    <row r="481">
      <c r="A481" s="113"/>
      <c r="B481" s="126"/>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row>
    <row r="482">
      <c r="A482" s="113"/>
      <c r="B482" s="126"/>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row>
    <row r="483">
      <c r="A483" s="113"/>
      <c r="B483" s="126"/>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row>
    <row r="484">
      <c r="A484" s="113"/>
      <c r="B484" s="126"/>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row>
    <row r="485">
      <c r="A485" s="113"/>
      <c r="B485" s="126"/>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row>
    <row r="486">
      <c r="A486" s="113"/>
      <c r="B486" s="126"/>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row>
    <row r="487">
      <c r="A487" s="113"/>
      <c r="B487" s="126"/>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row>
    <row r="488">
      <c r="A488" s="113"/>
      <c r="B488" s="126"/>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row>
    <row r="489">
      <c r="A489" s="113"/>
      <c r="B489" s="126"/>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row>
    <row r="490">
      <c r="A490" s="113"/>
      <c r="B490" s="126"/>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row>
    <row r="491">
      <c r="A491" s="113"/>
      <c r="B491" s="126"/>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row>
    <row r="492">
      <c r="A492" s="113"/>
      <c r="B492" s="126"/>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row>
    <row r="493">
      <c r="A493" s="113"/>
      <c r="B493" s="126"/>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row>
    <row r="494">
      <c r="A494" s="113"/>
      <c r="B494" s="126"/>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row>
    <row r="495">
      <c r="A495" s="113"/>
      <c r="B495" s="126"/>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row>
    <row r="496">
      <c r="A496" s="113"/>
      <c r="B496" s="126"/>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row>
    <row r="497">
      <c r="A497" s="113"/>
      <c r="B497" s="126"/>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row>
    <row r="498">
      <c r="A498" s="113"/>
      <c r="B498" s="126"/>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row>
    <row r="499">
      <c r="A499" s="113"/>
      <c r="B499" s="126"/>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row>
    <row r="500">
      <c r="A500" s="113"/>
      <c r="B500" s="126"/>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row>
    <row r="501">
      <c r="A501" s="113"/>
      <c r="B501" s="126"/>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row>
    <row r="502">
      <c r="A502" s="113"/>
      <c r="B502" s="126"/>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row>
    <row r="503">
      <c r="A503" s="113"/>
      <c r="B503" s="126"/>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row>
    <row r="504">
      <c r="A504" s="113"/>
      <c r="B504" s="126"/>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row>
    <row r="505">
      <c r="A505" s="113"/>
      <c r="B505" s="126"/>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row>
    <row r="506">
      <c r="A506" s="113"/>
      <c r="B506" s="126"/>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row>
    <row r="507">
      <c r="A507" s="113"/>
      <c r="B507" s="126"/>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row>
    <row r="508">
      <c r="A508" s="113"/>
      <c r="B508" s="126"/>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row>
    <row r="509">
      <c r="A509" s="113"/>
      <c r="B509" s="126"/>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row>
    <row r="510">
      <c r="A510" s="113"/>
      <c r="B510" s="126"/>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row>
    <row r="511">
      <c r="A511" s="113"/>
      <c r="B511" s="126"/>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row>
    <row r="512">
      <c r="A512" s="113"/>
      <c r="B512" s="126"/>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row>
    <row r="513">
      <c r="A513" s="113"/>
      <c r="B513" s="126"/>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row>
    <row r="514">
      <c r="A514" s="113"/>
      <c r="B514" s="126"/>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row>
    <row r="515">
      <c r="A515" s="113"/>
      <c r="B515" s="126"/>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row>
    <row r="516">
      <c r="A516" s="113"/>
      <c r="B516" s="126"/>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row>
    <row r="517">
      <c r="A517" s="113"/>
      <c r="B517" s="126"/>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row>
    <row r="518">
      <c r="A518" s="113"/>
      <c r="B518" s="126"/>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row>
    <row r="519">
      <c r="A519" s="113"/>
      <c r="B519" s="126"/>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row>
    <row r="520">
      <c r="A520" s="113"/>
      <c r="B520" s="126"/>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row>
    <row r="521">
      <c r="A521" s="113"/>
      <c r="B521" s="126"/>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row>
    <row r="522">
      <c r="A522" s="113"/>
      <c r="B522" s="126"/>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row>
    <row r="523">
      <c r="A523" s="113"/>
      <c r="B523" s="126"/>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row>
    <row r="524">
      <c r="A524" s="113"/>
      <c r="B524" s="126"/>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row>
    <row r="525">
      <c r="A525" s="113"/>
      <c r="B525" s="126"/>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row>
    <row r="526">
      <c r="A526" s="113"/>
      <c r="B526" s="126"/>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row>
    <row r="527">
      <c r="A527" s="113"/>
      <c r="B527" s="126"/>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row>
    <row r="528">
      <c r="A528" s="113"/>
      <c r="B528" s="126"/>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row>
    <row r="529">
      <c r="A529" s="113"/>
      <c r="B529" s="126"/>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row>
    <row r="530">
      <c r="A530" s="113"/>
      <c r="B530" s="126"/>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row>
    <row r="531">
      <c r="A531" s="113"/>
      <c r="B531" s="126"/>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row>
    <row r="532">
      <c r="A532" s="113"/>
      <c r="B532" s="126"/>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row>
    <row r="533">
      <c r="A533" s="113"/>
      <c r="B533" s="126"/>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row>
    <row r="534">
      <c r="A534" s="113"/>
      <c r="B534" s="126"/>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row>
    <row r="535">
      <c r="A535" s="113"/>
      <c r="B535" s="126"/>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row>
    <row r="536">
      <c r="A536" s="113"/>
      <c r="B536" s="126"/>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row>
    <row r="537">
      <c r="A537" s="113"/>
      <c r="B537" s="126"/>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row>
    <row r="538">
      <c r="A538" s="113"/>
      <c r="B538" s="126"/>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row>
    <row r="539">
      <c r="A539" s="113"/>
      <c r="B539" s="126"/>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row>
    <row r="540">
      <c r="A540" s="113"/>
      <c r="B540" s="126"/>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row>
    <row r="541">
      <c r="A541" s="113"/>
      <c r="B541" s="126"/>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row>
    <row r="542">
      <c r="A542" s="113"/>
      <c r="B542" s="126"/>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row>
    <row r="543">
      <c r="A543" s="113"/>
      <c r="B543" s="126"/>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row>
    <row r="544">
      <c r="A544" s="113"/>
      <c r="B544" s="126"/>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row>
    <row r="545">
      <c r="A545" s="113"/>
      <c r="B545" s="126"/>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row>
    <row r="546">
      <c r="A546" s="113"/>
      <c r="B546" s="126"/>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row>
    <row r="547">
      <c r="A547" s="113"/>
      <c r="B547" s="126"/>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row>
    <row r="548">
      <c r="A548" s="113"/>
      <c r="B548" s="126"/>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row>
    <row r="549">
      <c r="A549" s="113"/>
      <c r="B549" s="126"/>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row>
    <row r="550">
      <c r="A550" s="113"/>
      <c r="B550" s="126"/>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row>
    <row r="551">
      <c r="A551" s="113"/>
      <c r="B551" s="126"/>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row>
    <row r="552">
      <c r="A552" s="113"/>
      <c r="B552" s="126"/>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row>
    <row r="553">
      <c r="A553" s="113"/>
      <c r="B553" s="126"/>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row>
    <row r="554">
      <c r="A554" s="113"/>
      <c r="B554" s="126"/>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row>
    <row r="555">
      <c r="A555" s="113"/>
      <c r="B555" s="126"/>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row>
    <row r="556">
      <c r="A556" s="113"/>
      <c r="B556" s="126"/>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row>
    <row r="557">
      <c r="A557" s="113"/>
      <c r="B557" s="126"/>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row>
    <row r="558">
      <c r="A558" s="113"/>
      <c r="B558" s="126"/>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row>
    <row r="559">
      <c r="A559" s="113"/>
      <c r="B559" s="126"/>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row>
    <row r="560">
      <c r="A560" s="113"/>
      <c r="B560" s="126"/>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row>
    <row r="561">
      <c r="A561" s="113"/>
      <c r="B561" s="126"/>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row>
    <row r="562">
      <c r="A562" s="113"/>
      <c r="B562" s="126"/>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row>
    <row r="563">
      <c r="A563" s="113"/>
      <c r="B563" s="126"/>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row>
    <row r="564">
      <c r="A564" s="113"/>
      <c r="B564" s="126"/>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row>
    <row r="565">
      <c r="A565" s="113"/>
      <c r="B565" s="126"/>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row>
    <row r="566">
      <c r="A566" s="113"/>
      <c r="B566" s="126"/>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row>
    <row r="567">
      <c r="A567" s="113"/>
      <c r="B567" s="126"/>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row>
    <row r="568">
      <c r="A568" s="113"/>
      <c r="B568" s="126"/>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row>
    <row r="569">
      <c r="A569" s="113"/>
      <c r="B569" s="126"/>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row>
    <row r="570">
      <c r="A570" s="113"/>
      <c r="B570" s="126"/>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row>
    <row r="571">
      <c r="A571" s="113"/>
      <c r="B571" s="126"/>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row>
    <row r="572">
      <c r="A572" s="113"/>
      <c r="B572" s="126"/>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row>
    <row r="573">
      <c r="A573" s="113"/>
      <c r="B573" s="126"/>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row>
    <row r="574">
      <c r="A574" s="113"/>
      <c r="B574" s="126"/>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row>
    <row r="575">
      <c r="A575" s="113"/>
      <c r="B575" s="126"/>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row>
    <row r="576">
      <c r="A576" s="113"/>
      <c r="B576" s="126"/>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row>
    <row r="577">
      <c r="A577" s="113"/>
      <c r="B577" s="126"/>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row>
    <row r="578">
      <c r="A578" s="113"/>
      <c r="B578" s="126"/>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row>
    <row r="579">
      <c r="A579" s="113"/>
      <c r="B579" s="126"/>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row>
    <row r="580">
      <c r="A580" s="113"/>
      <c r="B580" s="126"/>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row>
    <row r="581">
      <c r="A581" s="113"/>
      <c r="B581" s="126"/>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row>
    <row r="582">
      <c r="A582" s="113"/>
      <c r="B582" s="126"/>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row>
    <row r="583">
      <c r="A583" s="113"/>
      <c r="B583" s="126"/>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row>
    <row r="584">
      <c r="A584" s="113"/>
      <c r="B584" s="126"/>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row>
    <row r="585">
      <c r="A585" s="113"/>
      <c r="B585" s="126"/>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row>
    <row r="586">
      <c r="A586" s="113"/>
      <c r="B586" s="126"/>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row>
    <row r="587">
      <c r="A587" s="113"/>
      <c r="B587" s="126"/>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row>
    <row r="588">
      <c r="A588" s="113"/>
      <c r="B588" s="126"/>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row>
    <row r="589">
      <c r="A589" s="113"/>
      <c r="B589" s="126"/>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row>
    <row r="590">
      <c r="A590" s="113"/>
      <c r="B590" s="126"/>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row>
    <row r="591">
      <c r="A591" s="113"/>
      <c r="B591" s="126"/>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row>
    <row r="592">
      <c r="A592" s="113"/>
      <c r="B592" s="126"/>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row>
    <row r="593">
      <c r="A593" s="113"/>
      <c r="B593" s="126"/>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row>
    <row r="594">
      <c r="A594" s="113"/>
      <c r="B594" s="126"/>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row>
    <row r="595">
      <c r="A595" s="113"/>
      <c r="B595" s="126"/>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row>
    <row r="596">
      <c r="A596" s="113"/>
      <c r="B596" s="126"/>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row>
    <row r="597">
      <c r="A597" s="113"/>
      <c r="B597" s="126"/>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row>
    <row r="598">
      <c r="A598" s="113"/>
      <c r="B598" s="126"/>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row>
    <row r="599">
      <c r="A599" s="113"/>
      <c r="B599" s="126"/>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row>
    <row r="600">
      <c r="A600" s="113"/>
      <c r="B600" s="126"/>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row>
    <row r="601">
      <c r="A601" s="113"/>
      <c r="B601" s="126"/>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row>
    <row r="602">
      <c r="A602" s="113"/>
      <c r="B602" s="126"/>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row>
    <row r="603">
      <c r="A603" s="113"/>
      <c r="B603" s="126"/>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row>
    <row r="604">
      <c r="A604" s="113"/>
      <c r="B604" s="126"/>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row>
    <row r="605">
      <c r="A605" s="113"/>
      <c r="B605" s="126"/>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row>
    <row r="606">
      <c r="A606" s="113"/>
      <c r="B606" s="126"/>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row>
    <row r="607">
      <c r="A607" s="113"/>
      <c r="B607" s="126"/>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row>
    <row r="608">
      <c r="A608" s="113"/>
      <c r="B608" s="126"/>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row>
    <row r="609">
      <c r="A609" s="113"/>
      <c r="B609" s="126"/>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row>
    <row r="610">
      <c r="A610" s="113"/>
      <c r="B610" s="126"/>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row>
    <row r="611">
      <c r="A611" s="113"/>
      <c r="B611" s="126"/>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row>
    <row r="612">
      <c r="A612" s="113"/>
      <c r="B612" s="126"/>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row>
    <row r="613">
      <c r="A613" s="113"/>
      <c r="B613" s="126"/>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row>
    <row r="614">
      <c r="A614" s="113"/>
      <c r="B614" s="126"/>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row>
    <row r="615">
      <c r="A615" s="113"/>
      <c r="B615" s="126"/>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row>
    <row r="616">
      <c r="A616" s="113"/>
      <c r="B616" s="126"/>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row>
    <row r="617">
      <c r="A617" s="113"/>
      <c r="B617" s="126"/>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row>
    <row r="618">
      <c r="A618" s="113"/>
      <c r="B618" s="126"/>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row>
    <row r="619">
      <c r="A619" s="113"/>
      <c r="B619" s="126"/>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row>
    <row r="620">
      <c r="A620" s="113"/>
      <c r="B620" s="126"/>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row>
    <row r="621">
      <c r="A621" s="113"/>
      <c r="B621" s="126"/>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row>
    <row r="622">
      <c r="A622" s="113"/>
      <c r="B622" s="126"/>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row>
    <row r="623">
      <c r="A623" s="113"/>
      <c r="B623" s="126"/>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row>
    <row r="624">
      <c r="A624" s="113"/>
      <c r="B624" s="126"/>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row>
    <row r="625">
      <c r="A625" s="113"/>
      <c r="B625" s="126"/>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row>
    <row r="626">
      <c r="A626" s="113"/>
      <c r="B626" s="126"/>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row>
    <row r="627">
      <c r="A627" s="113"/>
      <c r="B627" s="126"/>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row>
    <row r="628">
      <c r="A628" s="113"/>
      <c r="B628" s="126"/>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row>
    <row r="629">
      <c r="A629" s="113"/>
      <c r="B629" s="126"/>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row>
    <row r="630">
      <c r="A630" s="113"/>
      <c r="B630" s="126"/>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row>
    <row r="631">
      <c r="A631" s="113"/>
      <c r="B631" s="126"/>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row>
    <row r="632">
      <c r="A632" s="113"/>
      <c r="B632" s="126"/>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row>
    <row r="633">
      <c r="A633" s="113"/>
      <c r="B633" s="126"/>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row>
    <row r="634">
      <c r="A634" s="113"/>
      <c r="B634" s="126"/>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row>
    <row r="635">
      <c r="A635" s="113"/>
      <c r="B635" s="126"/>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row>
    <row r="636">
      <c r="A636" s="113"/>
      <c r="B636" s="126"/>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row>
    <row r="637">
      <c r="A637" s="113"/>
      <c r="B637" s="126"/>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row>
    <row r="638">
      <c r="A638" s="113"/>
      <c r="B638" s="126"/>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row>
    <row r="639">
      <c r="A639" s="113"/>
      <c r="B639" s="126"/>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row>
    <row r="640">
      <c r="A640" s="113"/>
      <c r="B640" s="126"/>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row>
    <row r="641">
      <c r="A641" s="113"/>
      <c r="B641" s="126"/>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row>
    <row r="642">
      <c r="A642" s="113"/>
      <c r="B642" s="126"/>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row>
    <row r="643">
      <c r="A643" s="113"/>
      <c r="B643" s="126"/>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row>
    <row r="644">
      <c r="A644" s="113"/>
      <c r="B644" s="126"/>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row>
    <row r="645">
      <c r="A645" s="113"/>
      <c r="B645" s="126"/>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row>
    <row r="646">
      <c r="A646" s="113"/>
      <c r="B646" s="126"/>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row>
    <row r="647">
      <c r="A647" s="113"/>
      <c r="B647" s="126"/>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row>
    <row r="648">
      <c r="A648" s="113"/>
      <c r="B648" s="126"/>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row>
    <row r="649">
      <c r="A649" s="113"/>
      <c r="B649" s="126"/>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row>
    <row r="650">
      <c r="A650" s="113"/>
      <c r="B650" s="126"/>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row>
    <row r="651">
      <c r="A651" s="113"/>
      <c r="B651" s="126"/>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row>
    <row r="652">
      <c r="A652" s="113"/>
      <c r="B652" s="126"/>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row>
    <row r="653">
      <c r="A653" s="113"/>
      <c r="B653" s="126"/>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row>
    <row r="654">
      <c r="A654" s="113"/>
      <c r="B654" s="126"/>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row>
    <row r="655">
      <c r="A655" s="113"/>
      <c r="B655" s="126"/>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row>
    <row r="656">
      <c r="A656" s="113"/>
      <c r="B656" s="126"/>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row>
    <row r="657">
      <c r="A657" s="113"/>
      <c r="B657" s="126"/>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row>
    <row r="658">
      <c r="A658" s="113"/>
      <c r="B658" s="126"/>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row>
    <row r="659">
      <c r="A659" s="113"/>
      <c r="B659" s="126"/>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row>
    <row r="660">
      <c r="A660" s="113"/>
      <c r="B660" s="126"/>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row>
    <row r="661">
      <c r="A661" s="113"/>
      <c r="B661" s="126"/>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row>
    <row r="662">
      <c r="A662" s="113"/>
      <c r="B662" s="126"/>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row>
    <row r="663">
      <c r="A663" s="113"/>
      <c r="B663" s="126"/>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row>
    <row r="664">
      <c r="A664" s="113"/>
      <c r="B664" s="126"/>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row>
    <row r="665">
      <c r="A665" s="113"/>
      <c r="B665" s="126"/>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row>
    <row r="666">
      <c r="A666" s="113"/>
      <c r="B666" s="126"/>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row>
    <row r="667">
      <c r="A667" s="113"/>
      <c r="B667" s="126"/>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row>
    <row r="668">
      <c r="A668" s="113"/>
      <c r="B668" s="126"/>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row>
    <row r="669">
      <c r="A669" s="113"/>
      <c r="B669" s="126"/>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row>
    <row r="670">
      <c r="A670" s="113"/>
      <c r="B670" s="126"/>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row>
    <row r="671">
      <c r="A671" s="113"/>
      <c r="B671" s="126"/>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row>
    <row r="672">
      <c r="A672" s="113"/>
      <c r="B672" s="126"/>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row>
    <row r="673">
      <c r="A673" s="113"/>
      <c r="B673" s="126"/>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row>
    <row r="674">
      <c r="A674" s="113"/>
      <c r="B674" s="126"/>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row>
    <row r="675">
      <c r="A675" s="113"/>
      <c r="B675" s="126"/>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row>
    <row r="676">
      <c r="A676" s="113"/>
      <c r="B676" s="126"/>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row>
    <row r="677">
      <c r="A677" s="113"/>
      <c r="B677" s="126"/>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row>
    <row r="678">
      <c r="A678" s="113"/>
      <c r="B678" s="126"/>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row>
    <row r="679">
      <c r="A679" s="113"/>
      <c r="B679" s="126"/>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row>
    <row r="680">
      <c r="A680" s="113"/>
      <c r="B680" s="126"/>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row>
    <row r="681">
      <c r="A681" s="113"/>
      <c r="B681" s="126"/>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row>
    <row r="682">
      <c r="A682" s="113"/>
      <c r="B682" s="126"/>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row>
    <row r="683">
      <c r="A683" s="113"/>
      <c r="B683" s="126"/>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row>
    <row r="684">
      <c r="A684" s="113"/>
      <c r="B684" s="126"/>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row>
    <row r="685">
      <c r="A685" s="113"/>
      <c r="B685" s="126"/>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row>
    <row r="686">
      <c r="A686" s="113"/>
      <c r="B686" s="126"/>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row>
    <row r="687">
      <c r="A687" s="113"/>
      <c r="B687" s="126"/>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row>
    <row r="688">
      <c r="A688" s="113"/>
      <c r="B688" s="126"/>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row>
    <row r="689">
      <c r="A689" s="113"/>
      <c r="B689" s="126"/>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row>
    <row r="690">
      <c r="A690" s="113"/>
      <c r="B690" s="126"/>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row>
    <row r="691">
      <c r="A691" s="113"/>
      <c r="B691" s="126"/>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row>
    <row r="692">
      <c r="A692" s="113"/>
      <c r="B692" s="126"/>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row>
    <row r="693">
      <c r="A693" s="113"/>
      <c r="B693" s="126"/>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row>
    <row r="694">
      <c r="A694" s="113"/>
      <c r="B694" s="126"/>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row>
    <row r="695">
      <c r="A695" s="113"/>
      <c r="B695" s="126"/>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row>
    <row r="696">
      <c r="A696" s="113"/>
      <c r="B696" s="126"/>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row>
    <row r="697">
      <c r="A697" s="113"/>
      <c r="B697" s="126"/>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row>
    <row r="698">
      <c r="A698" s="113"/>
      <c r="B698" s="126"/>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row>
    <row r="699">
      <c r="A699" s="113"/>
      <c r="B699" s="126"/>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row>
    <row r="700">
      <c r="A700" s="113"/>
      <c r="B700" s="126"/>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row>
    <row r="701">
      <c r="A701" s="113"/>
      <c r="B701" s="126"/>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row>
    <row r="702">
      <c r="A702" s="113"/>
      <c r="B702" s="126"/>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row>
    <row r="703">
      <c r="A703" s="113"/>
      <c r="B703" s="126"/>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row>
    <row r="704">
      <c r="A704" s="113"/>
      <c r="B704" s="126"/>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row>
    <row r="705">
      <c r="A705" s="113"/>
      <c r="B705" s="126"/>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row>
    <row r="706">
      <c r="A706" s="113"/>
      <c r="B706" s="126"/>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row>
    <row r="707">
      <c r="A707" s="113"/>
      <c r="B707" s="126"/>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row>
    <row r="708">
      <c r="A708" s="113"/>
      <c r="B708" s="126"/>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row>
    <row r="709">
      <c r="A709" s="113"/>
      <c r="B709" s="126"/>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row>
    <row r="710">
      <c r="A710" s="113"/>
      <c r="B710" s="126"/>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row>
    <row r="711">
      <c r="A711" s="113"/>
      <c r="B711" s="126"/>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row>
    <row r="712">
      <c r="A712" s="113"/>
      <c r="B712" s="126"/>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row>
    <row r="713">
      <c r="A713" s="113"/>
      <c r="B713" s="126"/>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row>
    <row r="714">
      <c r="A714" s="113"/>
      <c r="B714" s="126"/>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row>
    <row r="715">
      <c r="A715" s="113"/>
      <c r="B715" s="126"/>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row>
    <row r="716">
      <c r="A716" s="113"/>
      <c r="B716" s="126"/>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row>
    <row r="717">
      <c r="A717" s="113"/>
      <c r="B717" s="126"/>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row>
    <row r="718">
      <c r="A718" s="113"/>
      <c r="B718" s="126"/>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row>
    <row r="719">
      <c r="A719" s="113"/>
      <c r="B719" s="126"/>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row>
    <row r="720">
      <c r="A720" s="113"/>
      <c r="B720" s="126"/>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row>
    <row r="721">
      <c r="A721" s="113"/>
      <c r="B721" s="126"/>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row>
    <row r="722">
      <c r="A722" s="113"/>
      <c r="B722" s="126"/>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row>
    <row r="723">
      <c r="A723" s="113"/>
      <c r="B723" s="126"/>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row>
    <row r="724">
      <c r="A724" s="113"/>
      <c r="B724" s="126"/>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row>
    <row r="725">
      <c r="A725" s="113"/>
      <c r="B725" s="126"/>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row>
    <row r="726">
      <c r="A726" s="113"/>
      <c r="B726" s="126"/>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row>
    <row r="727">
      <c r="A727" s="113"/>
      <c r="B727" s="126"/>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row>
    <row r="728">
      <c r="A728" s="113"/>
      <c r="B728" s="126"/>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row>
    <row r="729">
      <c r="A729" s="113"/>
      <c r="B729" s="126"/>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row>
    <row r="730">
      <c r="A730" s="113"/>
      <c r="B730" s="126"/>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row>
    <row r="731">
      <c r="A731" s="113"/>
      <c r="B731" s="126"/>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row>
    <row r="732">
      <c r="A732" s="113"/>
      <c r="B732" s="126"/>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row>
    <row r="733">
      <c r="A733" s="113"/>
      <c r="B733" s="126"/>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row>
    <row r="734">
      <c r="A734" s="113"/>
      <c r="B734" s="126"/>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row>
    <row r="735">
      <c r="A735" s="113"/>
      <c r="B735" s="126"/>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row>
    <row r="736">
      <c r="A736" s="113"/>
      <c r="B736" s="126"/>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row>
    <row r="737">
      <c r="A737" s="113"/>
      <c r="B737" s="126"/>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row>
    <row r="738">
      <c r="A738" s="113"/>
      <c r="B738" s="126"/>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row>
    <row r="739">
      <c r="A739" s="113"/>
      <c r="B739" s="126"/>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row>
    <row r="740">
      <c r="A740" s="113"/>
      <c r="B740" s="126"/>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row>
    <row r="741">
      <c r="A741" s="113"/>
      <c r="B741" s="126"/>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row>
    <row r="742">
      <c r="A742" s="113"/>
      <c r="B742" s="126"/>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row>
    <row r="743">
      <c r="A743" s="113"/>
      <c r="B743" s="126"/>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row>
    <row r="744">
      <c r="A744" s="113"/>
      <c r="B744" s="126"/>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row>
    <row r="745">
      <c r="A745" s="113"/>
      <c r="B745" s="126"/>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row>
    <row r="746">
      <c r="A746" s="113"/>
      <c r="B746" s="126"/>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row>
    <row r="747">
      <c r="A747" s="113"/>
      <c r="B747" s="126"/>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row>
    <row r="748">
      <c r="A748" s="113"/>
      <c r="B748" s="126"/>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row>
    <row r="749">
      <c r="A749" s="113"/>
      <c r="B749" s="126"/>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row>
    <row r="750">
      <c r="A750" s="113"/>
      <c r="B750" s="126"/>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row>
    <row r="751">
      <c r="A751" s="113"/>
      <c r="B751" s="126"/>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row>
    <row r="752">
      <c r="A752" s="113"/>
      <c r="B752" s="126"/>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row>
    <row r="753">
      <c r="A753" s="113"/>
      <c r="B753" s="126"/>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row>
    <row r="754">
      <c r="A754" s="113"/>
      <c r="B754" s="126"/>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row>
    <row r="755">
      <c r="A755" s="113"/>
      <c r="B755" s="126"/>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row>
    <row r="756">
      <c r="A756" s="113"/>
      <c r="B756" s="126"/>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row>
    <row r="757">
      <c r="A757" s="113"/>
      <c r="B757" s="126"/>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row>
    <row r="758">
      <c r="A758" s="113"/>
      <c r="B758" s="126"/>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row>
    <row r="759">
      <c r="A759" s="113"/>
      <c r="B759" s="126"/>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row>
    <row r="760">
      <c r="A760" s="113"/>
      <c r="B760" s="126"/>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row>
    <row r="761">
      <c r="A761" s="113"/>
      <c r="B761" s="126"/>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row>
    <row r="762">
      <c r="A762" s="113"/>
      <c r="B762" s="126"/>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row>
    <row r="763">
      <c r="A763" s="113"/>
      <c r="B763" s="126"/>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row>
    <row r="764">
      <c r="A764" s="113"/>
      <c r="B764" s="126"/>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row>
    <row r="765">
      <c r="A765" s="113"/>
      <c r="B765" s="126"/>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row>
    <row r="766">
      <c r="A766" s="113"/>
      <c r="B766" s="126"/>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row>
    <row r="767">
      <c r="A767" s="113"/>
      <c r="B767" s="126"/>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row>
    <row r="768">
      <c r="A768" s="113"/>
      <c r="B768" s="126"/>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row>
    <row r="769">
      <c r="A769" s="113"/>
      <c r="B769" s="126"/>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row>
    <row r="770">
      <c r="A770" s="113"/>
      <c r="B770" s="126"/>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row>
    <row r="771">
      <c r="A771" s="113"/>
      <c r="B771" s="126"/>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row>
    <row r="772">
      <c r="A772" s="113"/>
      <c r="B772" s="126"/>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row>
    <row r="773">
      <c r="A773" s="113"/>
      <c r="B773" s="126"/>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row>
    <row r="774">
      <c r="A774" s="113"/>
      <c r="B774" s="126"/>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row>
    <row r="775">
      <c r="A775" s="113"/>
      <c r="B775" s="126"/>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row>
    <row r="776">
      <c r="A776" s="113"/>
      <c r="B776" s="126"/>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row>
    <row r="777">
      <c r="A777" s="113"/>
      <c r="B777" s="126"/>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row>
    <row r="778">
      <c r="A778" s="113"/>
      <c r="B778" s="126"/>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row>
    <row r="779">
      <c r="A779" s="113"/>
      <c r="B779" s="126"/>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row>
    <row r="780">
      <c r="A780" s="113"/>
      <c r="B780" s="126"/>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row>
    <row r="781">
      <c r="A781" s="113"/>
      <c r="B781" s="126"/>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row>
    <row r="782">
      <c r="A782" s="113"/>
      <c r="B782" s="126"/>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row>
    <row r="783">
      <c r="A783" s="113"/>
      <c r="B783" s="126"/>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row>
    <row r="784">
      <c r="A784" s="113"/>
      <c r="B784" s="126"/>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row>
    <row r="785">
      <c r="A785" s="113"/>
      <c r="B785" s="126"/>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row>
    <row r="786">
      <c r="A786" s="113"/>
      <c r="B786" s="126"/>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row>
    <row r="787">
      <c r="A787" s="113"/>
      <c r="B787" s="126"/>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row>
    <row r="788">
      <c r="A788" s="113"/>
      <c r="B788" s="126"/>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row>
    <row r="789">
      <c r="A789" s="113"/>
      <c r="B789" s="126"/>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row>
    <row r="790">
      <c r="A790" s="113"/>
      <c r="B790" s="126"/>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row>
    <row r="791">
      <c r="A791" s="113"/>
      <c r="B791" s="126"/>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row>
    <row r="792">
      <c r="A792" s="113"/>
      <c r="B792" s="126"/>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row>
    <row r="793">
      <c r="A793" s="113"/>
      <c r="B793" s="126"/>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row>
    <row r="794">
      <c r="A794" s="113"/>
      <c r="B794" s="126"/>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row>
    <row r="795">
      <c r="A795" s="113"/>
      <c r="B795" s="126"/>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row>
    <row r="796">
      <c r="A796" s="113"/>
      <c r="B796" s="126"/>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row>
    <row r="797">
      <c r="A797" s="113"/>
      <c r="B797" s="126"/>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row>
    <row r="798">
      <c r="A798" s="113"/>
      <c r="B798" s="126"/>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row>
    <row r="799">
      <c r="A799" s="113"/>
      <c r="B799" s="126"/>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row>
    <row r="800">
      <c r="A800" s="113"/>
      <c r="B800" s="126"/>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row>
    <row r="801">
      <c r="A801" s="113"/>
      <c r="B801" s="126"/>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row>
    <row r="802">
      <c r="A802" s="113"/>
      <c r="B802" s="126"/>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row>
    <row r="803">
      <c r="A803" s="113"/>
      <c r="B803" s="126"/>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row>
    <row r="804">
      <c r="A804" s="113"/>
      <c r="B804" s="126"/>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row>
    <row r="805">
      <c r="A805" s="113"/>
      <c r="B805" s="126"/>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row>
    <row r="806">
      <c r="A806" s="113"/>
      <c r="B806" s="126"/>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row>
    <row r="807">
      <c r="A807" s="113"/>
      <c r="B807" s="126"/>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row>
    <row r="808">
      <c r="A808" s="113"/>
      <c r="B808" s="126"/>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row>
    <row r="809">
      <c r="A809" s="113"/>
      <c r="B809" s="126"/>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row>
    <row r="810">
      <c r="A810" s="113"/>
      <c r="B810" s="126"/>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row>
    <row r="811">
      <c r="A811" s="113"/>
      <c r="B811" s="126"/>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row>
    <row r="812">
      <c r="A812" s="113"/>
      <c r="B812" s="126"/>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row>
    <row r="813">
      <c r="A813" s="113"/>
      <c r="B813" s="126"/>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row>
    <row r="814">
      <c r="A814" s="113"/>
      <c r="B814" s="126"/>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row>
    <row r="815">
      <c r="A815" s="113"/>
      <c r="B815" s="126"/>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row>
    <row r="816">
      <c r="A816" s="113"/>
      <c r="B816" s="126"/>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row>
    <row r="817">
      <c r="A817" s="113"/>
      <c r="B817" s="126"/>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row>
    <row r="818">
      <c r="A818" s="113"/>
      <c r="B818" s="126"/>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row>
    <row r="819">
      <c r="A819" s="113"/>
      <c r="B819" s="126"/>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row>
    <row r="820">
      <c r="A820" s="113"/>
      <c r="B820" s="126"/>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row>
    <row r="821">
      <c r="A821" s="113"/>
      <c r="B821" s="126"/>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row>
    <row r="822">
      <c r="A822" s="113"/>
      <c r="B822" s="126"/>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row>
    <row r="823">
      <c r="A823" s="113"/>
      <c r="B823" s="126"/>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row>
    <row r="824">
      <c r="A824" s="113"/>
      <c r="B824" s="126"/>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row>
    <row r="825">
      <c r="A825" s="113"/>
      <c r="B825" s="126"/>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row>
    <row r="826">
      <c r="A826" s="113"/>
      <c r="B826" s="126"/>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row>
    <row r="827">
      <c r="A827" s="113"/>
      <c r="B827" s="126"/>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row>
    <row r="828">
      <c r="A828" s="113"/>
      <c r="B828" s="126"/>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row>
    <row r="829">
      <c r="A829" s="113"/>
      <c r="B829" s="126"/>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row>
    <row r="830">
      <c r="A830" s="113"/>
      <c r="B830" s="126"/>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row>
    <row r="831">
      <c r="A831" s="113"/>
      <c r="B831" s="126"/>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row>
    <row r="832">
      <c r="A832" s="113"/>
      <c r="B832" s="126"/>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row>
    <row r="833">
      <c r="A833" s="113"/>
      <c r="B833" s="126"/>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row>
    <row r="834">
      <c r="A834" s="113"/>
      <c r="B834" s="126"/>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row>
    <row r="835">
      <c r="A835" s="113"/>
      <c r="B835" s="126"/>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row>
    <row r="836">
      <c r="A836" s="113"/>
      <c r="B836" s="126"/>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row>
    <row r="837">
      <c r="A837" s="113"/>
      <c r="B837" s="126"/>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row>
    <row r="838">
      <c r="A838" s="113"/>
      <c r="B838" s="126"/>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row>
    <row r="839">
      <c r="A839" s="113"/>
      <c r="B839" s="126"/>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row>
    <row r="840">
      <c r="A840" s="113"/>
      <c r="B840" s="126"/>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row>
    <row r="841">
      <c r="A841" s="113"/>
      <c r="B841" s="126"/>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row>
    <row r="842">
      <c r="A842" s="113"/>
      <c r="B842" s="126"/>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row>
    <row r="843">
      <c r="A843" s="113"/>
      <c r="B843" s="126"/>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row>
    <row r="844">
      <c r="A844" s="113"/>
      <c r="B844" s="126"/>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row>
    <row r="845">
      <c r="A845" s="113"/>
      <c r="B845" s="126"/>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row>
    <row r="846">
      <c r="A846" s="113"/>
      <c r="B846" s="126"/>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row>
    <row r="847">
      <c r="A847" s="113"/>
      <c r="B847" s="126"/>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row>
    <row r="848">
      <c r="A848" s="113"/>
      <c r="B848" s="126"/>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row>
    <row r="849">
      <c r="A849" s="113"/>
      <c r="B849" s="126"/>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row>
    <row r="850">
      <c r="A850" s="113"/>
      <c r="B850" s="126"/>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row>
    <row r="851">
      <c r="A851" s="113"/>
      <c r="B851" s="126"/>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row>
    <row r="852">
      <c r="A852" s="113"/>
      <c r="B852" s="126"/>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row>
    <row r="853">
      <c r="A853" s="113"/>
      <c r="B853" s="126"/>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row>
    <row r="854">
      <c r="A854" s="113"/>
      <c r="B854" s="126"/>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row>
    <row r="855">
      <c r="A855" s="113"/>
      <c r="B855" s="126"/>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row>
    <row r="856">
      <c r="A856" s="113"/>
      <c r="B856" s="126"/>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row>
    <row r="857">
      <c r="A857" s="113"/>
      <c r="B857" s="126"/>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row>
    <row r="858">
      <c r="A858" s="113"/>
      <c r="B858" s="126"/>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row>
    <row r="859">
      <c r="A859" s="113"/>
      <c r="B859" s="126"/>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row>
    <row r="860">
      <c r="A860" s="113"/>
      <c r="B860" s="126"/>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row>
    <row r="861">
      <c r="A861" s="113"/>
      <c r="B861" s="126"/>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row>
    <row r="862">
      <c r="A862" s="113"/>
      <c r="B862" s="126"/>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row>
    <row r="863">
      <c r="A863" s="113"/>
      <c r="B863" s="126"/>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row>
    <row r="864">
      <c r="A864" s="113"/>
      <c r="B864" s="126"/>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row>
    <row r="865">
      <c r="A865" s="113"/>
      <c r="B865" s="126"/>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row>
    <row r="866">
      <c r="A866" s="113"/>
      <c r="B866" s="126"/>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row>
    <row r="867">
      <c r="A867" s="113"/>
      <c r="B867" s="126"/>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row>
    <row r="868">
      <c r="A868" s="113"/>
      <c r="B868" s="126"/>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row>
    <row r="869">
      <c r="A869" s="113"/>
      <c r="B869" s="126"/>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row>
    <row r="870">
      <c r="A870" s="113"/>
      <c r="B870" s="126"/>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row>
    <row r="871">
      <c r="A871" s="113"/>
      <c r="B871" s="126"/>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row>
    <row r="872">
      <c r="A872" s="113"/>
      <c r="B872" s="126"/>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row>
    <row r="873">
      <c r="A873" s="113"/>
      <c r="B873" s="126"/>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row>
    <row r="874">
      <c r="A874" s="113"/>
      <c r="B874" s="126"/>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row>
    <row r="875">
      <c r="A875" s="113"/>
      <c r="B875" s="126"/>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row>
    <row r="876">
      <c r="A876" s="113"/>
      <c r="B876" s="126"/>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row>
    <row r="877">
      <c r="A877" s="113"/>
      <c r="B877" s="126"/>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row>
    <row r="878">
      <c r="A878" s="113"/>
      <c r="B878" s="126"/>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row>
    <row r="879">
      <c r="A879" s="113"/>
      <c r="B879" s="126"/>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row>
    <row r="880">
      <c r="A880" s="113"/>
      <c r="B880" s="126"/>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row>
    <row r="881">
      <c r="A881" s="113"/>
      <c r="B881" s="126"/>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row>
    <row r="882">
      <c r="A882" s="113"/>
      <c r="B882" s="126"/>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row>
    <row r="883">
      <c r="A883" s="113"/>
      <c r="B883" s="126"/>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row>
    <row r="884">
      <c r="A884" s="113"/>
      <c r="B884" s="126"/>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row>
    <row r="885">
      <c r="A885" s="113"/>
      <c r="B885" s="126"/>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row>
    <row r="886">
      <c r="A886" s="113"/>
      <c r="B886" s="126"/>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row>
    <row r="887">
      <c r="A887" s="113"/>
      <c r="B887" s="126"/>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row>
    <row r="888">
      <c r="A888" s="113"/>
      <c r="B888" s="126"/>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row>
    <row r="889">
      <c r="A889" s="113"/>
      <c r="B889" s="126"/>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row>
    <row r="890">
      <c r="A890" s="113"/>
      <c r="B890" s="126"/>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row>
    <row r="891">
      <c r="A891" s="113"/>
      <c r="B891" s="126"/>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row>
    <row r="892">
      <c r="A892" s="113"/>
      <c r="B892" s="126"/>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row>
    <row r="893">
      <c r="A893" s="113"/>
      <c r="B893" s="126"/>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row>
    <row r="894">
      <c r="A894" s="113"/>
      <c r="B894" s="126"/>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row>
    <row r="895">
      <c r="A895" s="113"/>
      <c r="B895" s="126"/>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row>
    <row r="896">
      <c r="A896" s="113"/>
      <c r="B896" s="126"/>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row>
    <row r="897">
      <c r="A897" s="113"/>
      <c r="B897" s="126"/>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row>
    <row r="898">
      <c r="A898" s="113"/>
      <c r="B898" s="126"/>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row>
    <row r="899">
      <c r="A899" s="113"/>
      <c r="B899" s="126"/>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row>
    <row r="900">
      <c r="A900" s="113"/>
      <c r="B900" s="126"/>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row>
    <row r="901">
      <c r="A901" s="113"/>
      <c r="B901" s="126"/>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row>
    <row r="902">
      <c r="A902" s="113"/>
      <c r="B902" s="126"/>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row>
    <row r="903">
      <c r="A903" s="113"/>
      <c r="B903" s="126"/>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row>
    <row r="904">
      <c r="A904" s="113"/>
      <c r="B904" s="126"/>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row>
    <row r="905">
      <c r="A905" s="113"/>
      <c r="B905" s="126"/>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row>
    <row r="906">
      <c r="A906" s="113"/>
      <c r="B906" s="126"/>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row>
    <row r="907">
      <c r="A907" s="113"/>
      <c r="B907" s="126"/>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row>
    <row r="908">
      <c r="A908" s="113"/>
      <c r="B908" s="126"/>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row>
    <row r="909">
      <c r="A909" s="113"/>
      <c r="B909" s="126"/>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row>
    <row r="910">
      <c r="A910" s="113"/>
      <c r="B910" s="126"/>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row>
    <row r="911">
      <c r="A911" s="113"/>
      <c r="B911" s="126"/>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row>
    <row r="912">
      <c r="A912" s="113"/>
      <c r="B912" s="126"/>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row>
    <row r="913">
      <c r="A913" s="113"/>
      <c r="B913" s="126"/>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row>
    <row r="914">
      <c r="A914" s="113"/>
      <c r="B914" s="126"/>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row>
    <row r="915">
      <c r="A915" s="113"/>
      <c r="B915" s="126"/>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row>
    <row r="916">
      <c r="A916" s="113"/>
      <c r="B916" s="126"/>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row>
    <row r="917">
      <c r="A917" s="113"/>
      <c r="B917" s="126"/>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row>
    <row r="918">
      <c r="A918" s="113"/>
      <c r="B918" s="126"/>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row>
    <row r="919">
      <c r="A919" s="113"/>
      <c r="B919" s="126"/>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row>
    <row r="920">
      <c r="A920" s="113"/>
      <c r="B920" s="126"/>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row>
    <row r="921">
      <c r="A921" s="113"/>
      <c r="B921" s="126"/>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row>
    <row r="922">
      <c r="A922" s="113"/>
      <c r="B922" s="126"/>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row>
    <row r="923">
      <c r="A923" s="113"/>
      <c r="B923" s="126"/>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row>
    <row r="924">
      <c r="A924" s="113"/>
      <c r="B924" s="126"/>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row>
    <row r="925">
      <c r="A925" s="113"/>
      <c r="B925" s="126"/>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row>
    <row r="926">
      <c r="A926" s="113"/>
      <c r="B926" s="126"/>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row>
    <row r="927">
      <c r="A927" s="113"/>
      <c r="B927" s="126"/>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row>
    <row r="928">
      <c r="A928" s="113"/>
      <c r="B928" s="126"/>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row>
    <row r="929">
      <c r="A929" s="113"/>
      <c r="B929" s="126"/>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row>
    <row r="930">
      <c r="A930" s="113"/>
      <c r="B930" s="126"/>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row>
    <row r="931">
      <c r="A931" s="113"/>
      <c r="B931" s="126"/>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row>
    <row r="932">
      <c r="A932" s="113"/>
      <c r="B932" s="126"/>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row>
    <row r="933">
      <c r="A933" s="113"/>
      <c r="B933" s="126"/>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row>
    <row r="934">
      <c r="A934" s="113"/>
      <c r="B934" s="126"/>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row>
    <row r="935">
      <c r="A935" s="113"/>
      <c r="B935" s="126"/>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row>
    <row r="936">
      <c r="A936" s="113"/>
      <c r="B936" s="126"/>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row>
    <row r="937">
      <c r="A937" s="113"/>
      <c r="B937" s="126"/>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row>
    <row r="938">
      <c r="A938" s="113"/>
      <c r="B938" s="126"/>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row>
    <row r="939">
      <c r="A939" s="113"/>
      <c r="B939" s="126"/>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row>
    <row r="940">
      <c r="A940" s="113"/>
      <c r="B940" s="126"/>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row>
    <row r="941">
      <c r="A941" s="113"/>
      <c r="B941" s="126"/>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row>
    <row r="942">
      <c r="A942" s="113"/>
      <c r="B942" s="126"/>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row>
    <row r="943">
      <c r="A943" s="113"/>
      <c r="B943" s="126"/>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row>
    <row r="944">
      <c r="A944" s="113"/>
      <c r="B944" s="126"/>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row>
    <row r="945">
      <c r="A945" s="113"/>
      <c r="B945" s="126"/>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row>
    <row r="946">
      <c r="A946" s="113"/>
      <c r="B946" s="126"/>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row>
    <row r="947">
      <c r="A947" s="113"/>
      <c r="B947" s="126"/>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row>
    <row r="948">
      <c r="A948" s="113"/>
      <c r="B948" s="126"/>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row>
    <row r="949">
      <c r="A949" s="113"/>
      <c r="B949" s="126"/>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row>
    <row r="950">
      <c r="A950" s="113"/>
      <c r="B950" s="126"/>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row>
    <row r="951">
      <c r="A951" s="113"/>
      <c r="B951" s="126"/>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row>
    <row r="952">
      <c r="A952" s="113"/>
      <c r="B952" s="126"/>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row>
    <row r="953">
      <c r="A953" s="113"/>
      <c r="B953" s="126"/>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row>
    <row r="954">
      <c r="A954" s="113"/>
      <c r="B954" s="126"/>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row>
    <row r="955">
      <c r="A955" s="113"/>
      <c r="B955" s="126"/>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row>
    <row r="956">
      <c r="A956" s="113"/>
      <c r="B956" s="126"/>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row>
    <row r="957">
      <c r="A957" s="113"/>
      <c r="B957" s="126"/>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row>
    <row r="958">
      <c r="A958" s="113"/>
      <c r="B958" s="126"/>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row>
    <row r="959">
      <c r="A959" s="113"/>
      <c r="B959" s="126"/>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row>
    <row r="960">
      <c r="A960" s="113"/>
      <c r="B960" s="126"/>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row>
    <row r="961">
      <c r="A961" s="113"/>
      <c r="B961" s="126"/>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row>
    <row r="962">
      <c r="A962" s="113"/>
      <c r="B962" s="126"/>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2"/>
    </row>
    <row r="963">
      <c r="A963" s="113"/>
      <c r="B963" s="126"/>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c r="AA963" s="122"/>
      <c r="AB963" s="122"/>
      <c r="AC963" s="122"/>
    </row>
    <row r="964">
      <c r="A964" s="113"/>
      <c r="B964" s="126"/>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c r="AA964" s="122"/>
      <c r="AB964" s="122"/>
      <c r="AC964" s="122"/>
    </row>
    <row r="965">
      <c r="A965" s="113"/>
      <c r="B965" s="126"/>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c r="AA965" s="122"/>
      <c r="AB965" s="122"/>
      <c r="AC965" s="122"/>
    </row>
    <row r="966">
      <c r="A966" s="113"/>
      <c r="B966" s="126"/>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c r="AA966" s="122"/>
      <c r="AB966" s="122"/>
      <c r="AC966" s="122"/>
    </row>
    <row r="967">
      <c r="A967" s="113"/>
      <c r="B967" s="126"/>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c r="AA967" s="122"/>
      <c r="AB967" s="122"/>
      <c r="AC967" s="122"/>
    </row>
    <row r="968">
      <c r="A968" s="113"/>
      <c r="B968" s="126"/>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c r="AA968" s="122"/>
      <c r="AB968" s="122"/>
      <c r="AC968" s="122"/>
    </row>
    <row r="969">
      <c r="A969" s="113"/>
      <c r="B969" s="126"/>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c r="AA969" s="122"/>
      <c r="AB969" s="122"/>
      <c r="AC969" s="122"/>
    </row>
    <row r="970">
      <c r="A970" s="113"/>
      <c r="B970" s="126"/>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c r="AA970" s="122"/>
      <c r="AB970" s="122"/>
      <c r="AC970" s="122"/>
    </row>
    <row r="971">
      <c r="A971" s="113"/>
      <c r="B971" s="126"/>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c r="AA971" s="122"/>
      <c r="AB971" s="122"/>
      <c r="AC971" s="122"/>
    </row>
    <row r="972">
      <c r="A972" s="113"/>
      <c r="B972" s="126"/>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c r="AA972" s="122"/>
      <c r="AB972" s="122"/>
      <c r="AC972" s="122"/>
    </row>
    <row r="973">
      <c r="A973" s="113"/>
      <c r="B973" s="126"/>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c r="AA973" s="122"/>
      <c r="AB973" s="122"/>
      <c r="AC973" s="122"/>
    </row>
    <row r="974">
      <c r="A974" s="113"/>
      <c r="B974" s="126"/>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c r="AA974" s="122"/>
      <c r="AB974" s="122"/>
      <c r="AC974" s="122"/>
    </row>
    <row r="975">
      <c r="A975" s="113"/>
      <c r="B975" s="126"/>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c r="AA975" s="122"/>
      <c r="AB975" s="122"/>
      <c r="AC975" s="122"/>
    </row>
    <row r="976">
      <c r="A976" s="113"/>
      <c r="B976" s="126"/>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c r="AA976" s="122"/>
      <c r="AB976" s="122"/>
      <c r="AC976" s="122"/>
    </row>
    <row r="977">
      <c r="A977" s="113"/>
      <c r="B977" s="126"/>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c r="AA977" s="122"/>
      <c r="AB977" s="122"/>
      <c r="AC977" s="122"/>
    </row>
    <row r="978">
      <c r="A978" s="113"/>
      <c r="B978" s="126"/>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c r="AA978" s="122"/>
      <c r="AB978" s="122"/>
      <c r="AC978" s="122"/>
    </row>
    <row r="979">
      <c r="A979" s="113"/>
      <c r="B979" s="126"/>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c r="AA979" s="122"/>
      <c r="AB979" s="122"/>
      <c r="AC979" s="122"/>
    </row>
    <row r="980">
      <c r="A980" s="113"/>
      <c r="B980" s="126"/>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c r="AA980" s="122"/>
      <c r="AB980" s="122"/>
      <c r="AC980" s="122"/>
    </row>
    <row r="981">
      <c r="A981" s="113"/>
      <c r="B981" s="126"/>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c r="AA981" s="122"/>
      <c r="AB981" s="122"/>
      <c r="AC981" s="122"/>
    </row>
    <row r="982">
      <c r="A982" s="113"/>
      <c r="B982" s="126"/>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c r="AA982" s="122"/>
      <c r="AB982" s="122"/>
      <c r="AC982" s="122"/>
    </row>
    <row r="983">
      <c r="A983" s="113"/>
      <c r="B983" s="126"/>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c r="AA983" s="122"/>
      <c r="AB983" s="122"/>
      <c r="AC983" s="122"/>
    </row>
    <row r="984">
      <c r="A984" s="113"/>
      <c r="B984" s="126"/>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c r="AA984" s="122"/>
      <c r="AB984" s="122"/>
      <c r="AC984" s="122"/>
    </row>
    <row r="985">
      <c r="A985" s="113"/>
      <c r="B985" s="126"/>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c r="AA985" s="122"/>
      <c r="AB985" s="122"/>
      <c r="AC985" s="122"/>
    </row>
    <row r="986">
      <c r="A986" s="113"/>
      <c r="B986" s="126"/>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c r="AA986" s="122"/>
      <c r="AB986" s="122"/>
      <c r="AC986" s="122"/>
    </row>
    <row r="987">
      <c r="A987" s="113"/>
      <c r="B987" s="126"/>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c r="AA987" s="122"/>
      <c r="AB987" s="122"/>
      <c r="AC987" s="122"/>
    </row>
    <row r="988">
      <c r="A988" s="113"/>
      <c r="B988" s="126"/>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c r="AA988" s="122"/>
      <c r="AB988" s="122"/>
      <c r="AC988" s="122"/>
    </row>
    <row r="989">
      <c r="A989" s="113"/>
      <c r="B989" s="126"/>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c r="AA989" s="122"/>
      <c r="AB989" s="122"/>
      <c r="AC989" s="122"/>
    </row>
    <row r="990">
      <c r="A990" s="113"/>
      <c r="B990" s="126"/>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c r="AA990" s="122"/>
      <c r="AB990" s="122"/>
      <c r="AC990" s="122"/>
    </row>
    <row r="991">
      <c r="A991" s="113"/>
      <c r="B991" s="126"/>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c r="AA991" s="122"/>
      <c r="AB991" s="122"/>
      <c r="AC991" s="122"/>
    </row>
    <row r="992">
      <c r="A992" s="113"/>
      <c r="B992" s="126"/>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c r="AA992" s="122"/>
      <c r="AB992" s="122"/>
      <c r="AC992" s="122"/>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c r="H1" s="172"/>
      <c r="I1" s="173" t="s">
        <v>63</v>
      </c>
      <c r="J1" s="173" t="s">
        <v>64</v>
      </c>
      <c r="K1" s="173" t="s">
        <v>24</v>
      </c>
      <c r="L1" s="173" t="s">
        <v>121</v>
      </c>
      <c r="M1" s="173" t="s">
        <v>10</v>
      </c>
    </row>
    <row r="2" ht="13.5" customHeight="1">
      <c r="A2" s="174">
        <v>43891.0</v>
      </c>
      <c r="B2" s="175"/>
      <c r="C2" s="176"/>
      <c r="D2" s="175">
        <v>969.0</v>
      </c>
      <c r="E2" s="175"/>
      <c r="F2" s="177">
        <f t="shared" ref="F2:F33" si="1">SUM(B2:E2)</f>
        <v>969</v>
      </c>
      <c r="M2" s="177">
        <f t="shared" ref="M2:M32" si="2">SUM(I2:L2)</f>
        <v>0</v>
      </c>
    </row>
    <row r="3" ht="13.5" customHeight="1">
      <c r="A3" s="174">
        <v>43892.0</v>
      </c>
      <c r="B3" s="178">
        <f>0.5*(10165+1021+462)</f>
        <v>5824</v>
      </c>
      <c r="C3" s="176"/>
      <c r="D3" s="176"/>
      <c r="E3" s="175"/>
      <c r="F3" s="177">
        <f t="shared" si="1"/>
        <v>5824</v>
      </c>
      <c r="I3" s="178">
        <f>0.5*(10165+1021+462)</f>
        <v>5824</v>
      </c>
      <c r="J3" s="176"/>
      <c r="K3" s="176"/>
      <c r="L3" s="175"/>
      <c r="M3" s="177">
        <f t="shared" si="2"/>
        <v>5824</v>
      </c>
    </row>
    <row r="4" ht="13.5" customHeight="1">
      <c r="A4" s="174">
        <v>43893.0</v>
      </c>
      <c r="B4" s="175"/>
      <c r="C4" s="176"/>
      <c r="D4" s="176"/>
      <c r="E4" s="176"/>
      <c r="F4" s="177">
        <f t="shared" si="1"/>
        <v>0</v>
      </c>
      <c r="I4" s="175"/>
      <c r="J4" s="176"/>
      <c r="K4" s="176"/>
      <c r="L4" s="176"/>
      <c r="M4" s="177">
        <f t="shared" si="2"/>
        <v>0</v>
      </c>
    </row>
    <row r="5" ht="13.5" customHeight="1">
      <c r="A5" s="174">
        <v>43894.0</v>
      </c>
      <c r="B5" s="178">
        <f>0.5*(341)</f>
        <v>170.5</v>
      </c>
      <c r="C5" s="176"/>
      <c r="D5" s="176"/>
      <c r="E5" s="179">
        <f>0.5*(30*16)</f>
        <v>240</v>
      </c>
      <c r="F5" s="177">
        <f t="shared" si="1"/>
        <v>410.5</v>
      </c>
      <c r="I5" s="178">
        <f>0.5*(341)</f>
        <v>170.5</v>
      </c>
      <c r="J5" s="176"/>
      <c r="K5" s="176"/>
      <c r="L5" s="179">
        <f>0.5*(30*16)</f>
        <v>240</v>
      </c>
      <c r="M5" s="177">
        <f t="shared" si="2"/>
        <v>410.5</v>
      </c>
    </row>
    <row r="6" ht="13.5" customHeight="1">
      <c r="A6" s="174">
        <v>43895.0</v>
      </c>
      <c r="B6" s="175"/>
      <c r="C6" s="176"/>
      <c r="D6" s="176"/>
      <c r="E6" s="176"/>
      <c r="F6" s="177">
        <f t="shared" si="1"/>
        <v>0</v>
      </c>
      <c r="I6" s="175"/>
      <c r="J6" s="176"/>
      <c r="K6" s="176"/>
      <c r="L6" s="176"/>
      <c r="M6" s="177">
        <f t="shared" si="2"/>
        <v>0</v>
      </c>
    </row>
    <row r="7" ht="13.5" customHeight="1">
      <c r="A7" s="174">
        <v>43896.0</v>
      </c>
      <c r="B7" s="178">
        <f>0.5*(36+3890+5686)</f>
        <v>4806</v>
      </c>
      <c r="C7" s="176"/>
      <c r="D7" s="176"/>
      <c r="E7" s="178">
        <f>0.5*(220)</f>
        <v>110</v>
      </c>
      <c r="F7" s="177">
        <f t="shared" si="1"/>
        <v>4916</v>
      </c>
      <c r="I7" s="178">
        <f>0.5*(36+3890+5686)</f>
        <v>4806</v>
      </c>
      <c r="J7" s="176"/>
      <c r="K7" s="176"/>
      <c r="L7" s="178">
        <f>0.5*(220)</f>
        <v>110</v>
      </c>
      <c r="M7" s="177">
        <f t="shared" si="2"/>
        <v>4916</v>
      </c>
    </row>
    <row r="8" ht="13.5" customHeight="1">
      <c r="A8" s="174">
        <v>43897.0</v>
      </c>
      <c r="B8" s="176"/>
      <c r="C8" s="175"/>
      <c r="D8" s="176"/>
      <c r="E8" s="176"/>
      <c r="F8" s="177">
        <f t="shared" si="1"/>
        <v>0</v>
      </c>
      <c r="I8" s="176"/>
      <c r="J8" s="175"/>
      <c r="K8" s="176"/>
      <c r="L8" s="176"/>
      <c r="M8" s="177">
        <f t="shared" si="2"/>
        <v>0</v>
      </c>
    </row>
    <row r="9" ht="13.5" customHeight="1">
      <c r="A9" s="174">
        <v>43898.0</v>
      </c>
      <c r="B9" s="175"/>
      <c r="C9" s="176"/>
      <c r="D9" s="176"/>
      <c r="E9" s="176"/>
      <c r="F9" s="177">
        <f t="shared" si="1"/>
        <v>0</v>
      </c>
      <c r="I9" s="175"/>
      <c r="J9" s="176"/>
      <c r="K9" s="176"/>
      <c r="L9" s="176"/>
      <c r="M9" s="177">
        <f t="shared" si="2"/>
        <v>0</v>
      </c>
    </row>
    <row r="10" ht="13.5" customHeight="1">
      <c r="A10" s="174">
        <v>43899.0</v>
      </c>
      <c r="B10" s="175"/>
      <c r="C10" s="176"/>
      <c r="D10" s="176"/>
      <c r="E10" s="176"/>
      <c r="F10" s="177">
        <f t="shared" si="1"/>
        <v>0</v>
      </c>
      <c r="I10" s="175"/>
      <c r="J10" s="176"/>
      <c r="K10" s="176"/>
      <c r="L10" s="176"/>
      <c r="M10" s="177">
        <f t="shared" si="2"/>
        <v>0</v>
      </c>
    </row>
    <row r="11" ht="13.5" customHeight="1">
      <c r="A11" s="174">
        <v>43900.0</v>
      </c>
      <c r="B11" s="178">
        <f>0.5*(139+2002+800)</f>
        <v>1470.5</v>
      </c>
      <c r="C11" s="176"/>
      <c r="D11" s="175"/>
      <c r="E11" s="178">
        <f>0.5*(728+1045)</f>
        <v>886.5</v>
      </c>
      <c r="F11" s="177">
        <f t="shared" si="1"/>
        <v>2357</v>
      </c>
      <c r="I11" s="178">
        <f>0.5*(139+2002+800)</f>
        <v>1470.5</v>
      </c>
      <c r="J11" s="176"/>
      <c r="K11" s="175"/>
      <c r="L11" s="178">
        <f>0.5*(728+1045)</f>
        <v>886.5</v>
      </c>
      <c r="M11" s="177">
        <f t="shared" si="2"/>
        <v>2357</v>
      </c>
    </row>
    <row r="12" ht="13.5" customHeight="1">
      <c r="A12" s="174">
        <v>43901.0</v>
      </c>
      <c r="B12" s="178">
        <f>0.5*(598+1383)</f>
        <v>990.5</v>
      </c>
      <c r="C12" s="175"/>
      <c r="D12" s="176"/>
      <c r="E12" s="178">
        <f>0.5*(264)</f>
        <v>132</v>
      </c>
      <c r="F12" s="177">
        <f t="shared" si="1"/>
        <v>1122.5</v>
      </c>
      <c r="I12" s="178">
        <f>0.5*(598+1383)</f>
        <v>990.5</v>
      </c>
      <c r="J12" s="175"/>
      <c r="K12" s="176"/>
      <c r="L12" s="178">
        <f>0.5*(264)</f>
        <v>132</v>
      </c>
      <c r="M12" s="177">
        <f t="shared" si="2"/>
        <v>1122.5</v>
      </c>
    </row>
    <row r="13" ht="13.5" customHeight="1">
      <c r="A13" s="174">
        <v>43902.0</v>
      </c>
      <c r="B13" s="175"/>
      <c r="C13" s="176"/>
      <c r="D13" s="176"/>
      <c r="E13" s="176"/>
      <c r="F13" s="177">
        <f t="shared" si="1"/>
        <v>0</v>
      </c>
      <c r="I13" s="175"/>
      <c r="J13" s="176"/>
      <c r="K13" s="176"/>
      <c r="L13" s="176"/>
      <c r="M13" s="177">
        <f t="shared" si="2"/>
        <v>0</v>
      </c>
    </row>
    <row r="14" ht="13.5" customHeight="1">
      <c r="A14" s="174">
        <v>43903.0</v>
      </c>
      <c r="B14" s="178">
        <f>0.5*(3003)</f>
        <v>1501.5</v>
      </c>
      <c r="C14" s="176"/>
      <c r="D14" s="176"/>
      <c r="E14" s="176"/>
      <c r="F14" s="177">
        <f t="shared" si="1"/>
        <v>1501.5</v>
      </c>
      <c r="I14" s="178">
        <f>0.5*(3003)</f>
        <v>1501.5</v>
      </c>
      <c r="J14" s="176"/>
      <c r="K14" s="176"/>
      <c r="L14" s="176"/>
      <c r="M14" s="177">
        <f t="shared" si="2"/>
        <v>1501.5</v>
      </c>
    </row>
    <row r="15" ht="13.5" customHeight="1">
      <c r="A15" s="174">
        <v>43904.0</v>
      </c>
      <c r="B15" s="176"/>
      <c r="C15" s="176"/>
      <c r="D15" s="176"/>
      <c r="E15" s="178">
        <f>0.5*(220)</f>
        <v>110</v>
      </c>
      <c r="F15" s="177">
        <f t="shared" si="1"/>
        <v>110</v>
      </c>
      <c r="I15" s="176"/>
      <c r="J15" s="176"/>
      <c r="K15" s="176"/>
      <c r="L15" s="178">
        <f>0.5*(220)</f>
        <v>110</v>
      </c>
      <c r="M15" s="177">
        <f t="shared" si="2"/>
        <v>110</v>
      </c>
    </row>
    <row r="16" ht="13.5" customHeight="1">
      <c r="A16" s="174">
        <v>43905.0</v>
      </c>
      <c r="B16" s="178">
        <f>0.5*(535+117+1600)</f>
        <v>1126</v>
      </c>
      <c r="C16" s="176"/>
      <c r="D16" s="176"/>
      <c r="E16" s="178">
        <f>0.5*(330)</f>
        <v>165</v>
      </c>
      <c r="F16" s="177">
        <f t="shared" si="1"/>
        <v>1291</v>
      </c>
      <c r="I16" s="178">
        <f>0.5*(535+117+1600)</f>
        <v>1126</v>
      </c>
      <c r="J16" s="176"/>
      <c r="K16" s="176"/>
      <c r="L16" s="178">
        <f>0.5*(330)</f>
        <v>165</v>
      </c>
      <c r="M16" s="177">
        <f t="shared" si="2"/>
        <v>1291</v>
      </c>
    </row>
    <row r="17" ht="13.5" customHeight="1">
      <c r="A17" s="174">
        <v>43906.0</v>
      </c>
      <c r="B17" s="178">
        <f>0.5*(1001+324+1100)</f>
        <v>1212.5</v>
      </c>
      <c r="C17" s="176"/>
      <c r="D17" s="176"/>
      <c r="E17" s="178">
        <f>0.5*(250)</f>
        <v>125</v>
      </c>
      <c r="F17" s="177">
        <f t="shared" si="1"/>
        <v>1337.5</v>
      </c>
      <c r="I17" s="178">
        <f>0.5*(1001+324+1100)</f>
        <v>1212.5</v>
      </c>
      <c r="J17" s="176"/>
      <c r="K17" s="176"/>
      <c r="L17" s="178">
        <f>0.5*(250)</f>
        <v>125</v>
      </c>
      <c r="M17" s="177">
        <f t="shared" si="2"/>
        <v>1337.5</v>
      </c>
    </row>
    <row r="18" ht="13.5" customHeight="1">
      <c r="A18" s="174">
        <v>43907.0</v>
      </c>
      <c r="B18" s="178">
        <f>0.5*(327+549+1100)</f>
        <v>988</v>
      </c>
      <c r="C18" s="176"/>
      <c r="D18" s="178">
        <f>0.5*(5281)</f>
        <v>2640.5</v>
      </c>
      <c r="E18" s="178">
        <f>0.5*(110)</f>
        <v>55</v>
      </c>
      <c r="F18" s="177">
        <f t="shared" si="1"/>
        <v>3683.5</v>
      </c>
      <c r="I18" s="178">
        <f>0.5*(327+549+1100)</f>
        <v>988</v>
      </c>
      <c r="J18" s="176"/>
      <c r="K18" s="178">
        <f>0.5*(5281)</f>
        <v>2640.5</v>
      </c>
      <c r="L18" s="178">
        <f>0.5*(110)</f>
        <v>55</v>
      </c>
      <c r="M18" s="177">
        <f t="shared" si="2"/>
        <v>3683.5</v>
      </c>
    </row>
    <row r="19" ht="13.5" customHeight="1">
      <c r="A19" s="174">
        <v>43908.0</v>
      </c>
      <c r="B19" s="178">
        <f>0.5*(537+1230+218+1300)</f>
        <v>1642.5</v>
      </c>
      <c r="C19" s="176"/>
      <c r="D19" s="178">
        <f>0.5*(2000+888)</f>
        <v>1444</v>
      </c>
      <c r="E19" s="178">
        <f>0.5*(1605)</f>
        <v>802.5</v>
      </c>
      <c r="F19" s="177">
        <f t="shared" si="1"/>
        <v>3889</v>
      </c>
      <c r="I19" s="178">
        <f>0.5*(537+1230+218+1300)</f>
        <v>1642.5</v>
      </c>
      <c r="J19" s="176"/>
      <c r="K19" s="178">
        <f>0.5*(2000+888)</f>
        <v>1444</v>
      </c>
      <c r="L19" s="178">
        <f>0.5*(1605)</f>
        <v>802.5</v>
      </c>
      <c r="M19" s="177">
        <f t="shared" si="2"/>
        <v>3889</v>
      </c>
    </row>
    <row r="20" ht="13.5" customHeight="1">
      <c r="A20" s="174">
        <v>43909.0</v>
      </c>
      <c r="B20" s="178">
        <f>0.5*(1580+1496+183)</f>
        <v>1629.5</v>
      </c>
      <c r="C20" s="176"/>
      <c r="D20" s="175"/>
      <c r="E20" s="178">
        <f>0.5*(200)</f>
        <v>100</v>
      </c>
      <c r="F20" s="177">
        <f t="shared" si="1"/>
        <v>1729.5</v>
      </c>
      <c r="I20" s="178">
        <f>0.5*(1580+1496+183)</f>
        <v>1629.5</v>
      </c>
      <c r="J20" s="176"/>
      <c r="K20" s="175"/>
      <c r="L20" s="178">
        <f>0.5*(200)</f>
        <v>100</v>
      </c>
      <c r="M20" s="177">
        <f t="shared" si="2"/>
        <v>1729.5</v>
      </c>
    </row>
    <row r="21" ht="13.5" customHeight="1">
      <c r="A21" s="174">
        <v>43910.0</v>
      </c>
      <c r="B21" s="178">
        <f>0.5*(2376+196+372)</f>
        <v>1472</v>
      </c>
      <c r="C21" s="178">
        <f>0.5*(2000)</f>
        <v>1000</v>
      </c>
      <c r="D21" s="178">
        <f>0.5*(950+499)</f>
        <v>724.5</v>
      </c>
      <c r="E21" s="178">
        <f>0.5*(434)</f>
        <v>217</v>
      </c>
      <c r="F21" s="177">
        <f t="shared" si="1"/>
        <v>3413.5</v>
      </c>
      <c r="I21" s="178">
        <f>0.5*(2376+196+372)</f>
        <v>1472</v>
      </c>
      <c r="J21" s="178">
        <f>0.5*(2000)</f>
        <v>1000</v>
      </c>
      <c r="K21" s="178">
        <f>0.5*(950+499)</f>
        <v>724.5</v>
      </c>
      <c r="L21" s="178">
        <f>0.5*(434)</f>
        <v>217</v>
      </c>
      <c r="M21" s="177">
        <f t="shared" si="2"/>
        <v>3413.5</v>
      </c>
    </row>
    <row r="22" ht="13.5" customHeight="1">
      <c r="A22" s="174">
        <v>43911.0</v>
      </c>
      <c r="B22" s="178">
        <f>0.5*(1400+1001)</f>
        <v>1200.5</v>
      </c>
      <c r="C22" s="176"/>
      <c r="D22" s="176"/>
      <c r="E22" s="178">
        <f>0.5*(437)</f>
        <v>218.5</v>
      </c>
      <c r="F22" s="177">
        <f t="shared" si="1"/>
        <v>1419</v>
      </c>
      <c r="I22" s="178">
        <f>0.5*(1400+1001)</f>
        <v>1200.5</v>
      </c>
      <c r="J22" s="176"/>
      <c r="K22" s="176"/>
      <c r="L22" s="178">
        <f>0.5*(437)</f>
        <v>218.5</v>
      </c>
      <c r="M22" s="177">
        <f t="shared" si="2"/>
        <v>1419</v>
      </c>
    </row>
    <row r="23" ht="13.5" customHeight="1">
      <c r="A23" s="174">
        <v>43912.0</v>
      </c>
      <c r="B23" s="178">
        <f>0.5*(1404+108+1273)</f>
        <v>1392.5</v>
      </c>
      <c r="C23" s="176"/>
      <c r="D23" s="178">
        <f>0.5*(1100)</f>
        <v>550</v>
      </c>
      <c r="E23" s="178">
        <f>0.5*(468)</f>
        <v>234</v>
      </c>
      <c r="F23" s="177">
        <f t="shared" si="1"/>
        <v>2176.5</v>
      </c>
      <c r="I23" s="178">
        <f>0.5*(1404+108+1273)</f>
        <v>1392.5</v>
      </c>
      <c r="J23" s="176"/>
      <c r="K23" s="178">
        <f>0.5*(1100)</f>
        <v>550</v>
      </c>
      <c r="L23" s="178">
        <f>0.5*(468)</f>
        <v>234</v>
      </c>
      <c r="M23" s="177">
        <f t="shared" si="2"/>
        <v>2176.5</v>
      </c>
    </row>
    <row r="24" ht="13.5" customHeight="1">
      <c r="A24" s="174">
        <v>43913.0</v>
      </c>
      <c r="B24" s="178">
        <f>0.5*(214+350+1046+307+1147+365)</f>
        <v>1714.5</v>
      </c>
      <c r="C24" s="176"/>
      <c r="D24" s="178">
        <f>0.5*(990)</f>
        <v>495</v>
      </c>
      <c r="E24" s="176"/>
      <c r="F24" s="177">
        <f t="shared" si="1"/>
        <v>2209.5</v>
      </c>
      <c r="I24" s="178">
        <f>0.5*(214+350+1046+307+1147+365)</f>
        <v>1714.5</v>
      </c>
      <c r="J24" s="176"/>
      <c r="K24" s="178">
        <f>0.5*(990)</f>
        <v>495</v>
      </c>
      <c r="L24" s="176"/>
      <c r="M24" s="177">
        <f t="shared" si="2"/>
        <v>2209.5</v>
      </c>
    </row>
    <row r="25" ht="13.5" customHeight="1">
      <c r="A25" s="174">
        <v>43914.0</v>
      </c>
      <c r="B25" s="178">
        <f>0.5*(384+1311+1242+1700)</f>
        <v>2318.5</v>
      </c>
      <c r="C25" s="176"/>
      <c r="D25" s="178">
        <f>0.5*(400)</f>
        <v>200</v>
      </c>
      <c r="E25" s="178">
        <f>0.5*(100)</f>
        <v>50</v>
      </c>
      <c r="F25" s="177">
        <f t="shared" si="1"/>
        <v>2568.5</v>
      </c>
      <c r="I25" s="178">
        <f>0.5*(384+1311+1242+1700)</f>
        <v>2318.5</v>
      </c>
      <c r="J25" s="176"/>
      <c r="K25" s="178">
        <f>0.5*(400)</f>
        <v>200</v>
      </c>
      <c r="L25" s="178">
        <f>0.5*(100)</f>
        <v>50</v>
      </c>
      <c r="M25" s="177">
        <f t="shared" si="2"/>
        <v>2568.5</v>
      </c>
    </row>
    <row r="26" ht="13.5" customHeight="1">
      <c r="A26" s="174">
        <v>43915.0</v>
      </c>
      <c r="B26" s="178">
        <f>0.5*(900)</f>
        <v>450</v>
      </c>
      <c r="C26" s="178">
        <f>0.5*(560)</f>
        <v>280</v>
      </c>
      <c r="D26" s="178">
        <f>0.5*(9555+4908+5946)</f>
        <v>10204.5</v>
      </c>
      <c r="E26" s="176"/>
      <c r="F26" s="177">
        <f t="shared" si="1"/>
        <v>10934.5</v>
      </c>
      <c r="I26" s="178">
        <f>0.5*(900)</f>
        <v>450</v>
      </c>
      <c r="J26" s="178">
        <f>0.5*(560)</f>
        <v>280</v>
      </c>
      <c r="K26" s="178">
        <f>0.5*(9555+4908+5946)</f>
        <v>10204.5</v>
      </c>
      <c r="L26" s="176"/>
      <c r="M26" s="177">
        <f t="shared" si="2"/>
        <v>10934.5</v>
      </c>
    </row>
    <row r="27" ht="13.5" customHeight="1">
      <c r="A27" s="174">
        <v>43916.0</v>
      </c>
      <c r="B27" s="178">
        <f>3128+2792+2778</f>
        <v>8698</v>
      </c>
      <c r="C27" s="176"/>
      <c r="D27" s="178">
        <f>0.5*(2640+990+1330)</f>
        <v>2480</v>
      </c>
      <c r="E27" s="178">
        <f>0.5*(184+2170+100+2450)</f>
        <v>2452</v>
      </c>
      <c r="F27" s="177">
        <f t="shared" si="1"/>
        <v>13630</v>
      </c>
      <c r="I27" s="178">
        <f>3128+2792+2778</f>
        <v>8698</v>
      </c>
      <c r="J27" s="176"/>
      <c r="K27" s="178">
        <f>0.5*(2640+990+1330)</f>
        <v>2480</v>
      </c>
      <c r="L27" s="180">
        <f>1080+0.5*(184+2170+100+2450)</f>
        <v>3532</v>
      </c>
      <c r="M27" s="177">
        <f t="shared" si="2"/>
        <v>14710</v>
      </c>
    </row>
    <row r="28" ht="13.5" customHeight="1">
      <c r="A28" s="174">
        <v>43917.0</v>
      </c>
      <c r="B28" s="178">
        <f>0.5*(333+10325)</f>
        <v>5329</v>
      </c>
      <c r="C28" s="176"/>
      <c r="D28" s="176"/>
      <c r="E28" s="176"/>
      <c r="F28" s="177">
        <f t="shared" si="1"/>
        <v>5329</v>
      </c>
      <c r="I28" s="178">
        <f>0.5*(333+10325)</f>
        <v>5329</v>
      </c>
      <c r="J28" s="176"/>
      <c r="K28" s="176"/>
      <c r="L28" s="176"/>
      <c r="M28" s="177">
        <f t="shared" si="2"/>
        <v>5329</v>
      </c>
    </row>
    <row r="29" ht="13.5" customHeight="1">
      <c r="A29" s="174">
        <v>43918.0</v>
      </c>
      <c r="B29" s="176"/>
      <c r="C29" s="176"/>
      <c r="D29" s="178">
        <f>0.5*(547+3228)</f>
        <v>1887.5</v>
      </c>
      <c r="E29" s="178">
        <f>0.5*(674)</f>
        <v>337</v>
      </c>
      <c r="F29" s="177">
        <f t="shared" si="1"/>
        <v>2224.5</v>
      </c>
      <c r="I29" s="176"/>
      <c r="J29" s="176"/>
      <c r="K29" s="178">
        <f>0.5*(547+3228)</f>
        <v>1887.5</v>
      </c>
      <c r="L29" s="178">
        <f>0.5*(674)</f>
        <v>337</v>
      </c>
      <c r="M29" s="177">
        <f t="shared" si="2"/>
        <v>2224.5</v>
      </c>
    </row>
    <row r="30" ht="13.5" customHeight="1">
      <c r="A30" s="174">
        <v>43919.0</v>
      </c>
      <c r="B30" s="175"/>
      <c r="C30" s="176"/>
      <c r="D30" s="176"/>
      <c r="E30" s="176"/>
      <c r="F30" s="177">
        <f t="shared" si="1"/>
        <v>0</v>
      </c>
      <c r="I30" s="175"/>
      <c r="J30" s="176"/>
      <c r="K30" s="176"/>
      <c r="L30" s="176"/>
      <c r="M30" s="177">
        <f t="shared" si="2"/>
        <v>0</v>
      </c>
    </row>
    <row r="31" ht="13.5" customHeight="1">
      <c r="A31" s="174">
        <v>43920.0</v>
      </c>
      <c r="B31" s="178">
        <f>0.5*(216)</f>
        <v>108</v>
      </c>
      <c r="C31" s="176"/>
      <c r="D31" s="179">
        <f>0.5*(2200+330)</f>
        <v>1265</v>
      </c>
      <c r="E31" s="176"/>
      <c r="F31" s="177">
        <f t="shared" si="1"/>
        <v>1373</v>
      </c>
      <c r="I31" s="178">
        <f>0.5*(216)</f>
        <v>108</v>
      </c>
      <c r="J31" s="176"/>
      <c r="K31" s="179">
        <f>0.5*(2200+330)</f>
        <v>1265</v>
      </c>
      <c r="L31" s="176"/>
      <c r="M31" s="177">
        <f t="shared" si="2"/>
        <v>1373</v>
      </c>
    </row>
    <row r="32" ht="13.5" customHeight="1">
      <c r="A32" s="174">
        <v>43921.0</v>
      </c>
      <c r="B32" s="178">
        <f>0.5*13422</f>
        <v>6711</v>
      </c>
      <c r="C32" s="179">
        <f>0.5*28340</f>
        <v>14170</v>
      </c>
      <c r="D32" s="179">
        <f>0.5*1300</f>
        <v>650</v>
      </c>
      <c r="E32" s="181">
        <f>0.5*((760+1950+1890+1510+1510)+14365+9175+256500+3891)+5992+1600</f>
        <v>153367.5</v>
      </c>
      <c r="F32" s="177">
        <f t="shared" si="1"/>
        <v>174898.5</v>
      </c>
      <c r="I32" s="176"/>
      <c r="J32" s="176"/>
      <c r="K32" s="176"/>
      <c r="L32" s="179">
        <f>0.5*(760+1950+1890+1510+1510)</f>
        <v>3810</v>
      </c>
      <c r="M32" s="177">
        <f t="shared" si="2"/>
        <v>3810</v>
      </c>
    </row>
    <row r="33" ht="13.5" customHeight="1">
      <c r="A33" s="182" t="s">
        <v>399</v>
      </c>
      <c r="B33" s="177">
        <f t="shared" ref="B33:E33" si="3">SUM(B2:B32)</f>
        <v>50755.5</v>
      </c>
      <c r="C33" s="177">
        <f t="shared" si="3"/>
        <v>15450</v>
      </c>
      <c r="D33" s="177">
        <f t="shared" si="3"/>
        <v>23510</v>
      </c>
      <c r="E33" s="177">
        <f t="shared" si="3"/>
        <v>159602</v>
      </c>
      <c r="F33" s="177">
        <f t="shared" si="1"/>
        <v>249317.5</v>
      </c>
      <c r="I33" s="177">
        <f t="shared" ref="I33:M33" si="4">SUM(I2:I32)</f>
        <v>44044.5</v>
      </c>
      <c r="J33" s="177">
        <f t="shared" si="4"/>
        <v>1280</v>
      </c>
      <c r="K33" s="177">
        <f t="shared" si="4"/>
        <v>21891</v>
      </c>
      <c r="L33" s="177">
        <f t="shared" si="4"/>
        <v>11124.5</v>
      </c>
      <c r="M33" s="177">
        <f t="shared" si="4"/>
        <v>78340</v>
      </c>
    </row>
    <row r="34" ht="13.5" customHeight="1"/>
    <row r="35" ht="13.5" customHeight="1">
      <c r="B35" s="183"/>
      <c r="C35" s="183"/>
      <c r="M35" s="171">
        <v>104218.0</v>
      </c>
    </row>
    <row r="36" ht="13.5" customHeight="1">
      <c r="M36" s="184">
        <f>M35-M33</f>
        <v>25878</v>
      </c>
    </row>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c r="H1" s="172"/>
      <c r="I1" s="173" t="s">
        <v>63</v>
      </c>
      <c r="J1" s="173" t="s">
        <v>64</v>
      </c>
      <c r="K1" s="173" t="s">
        <v>24</v>
      </c>
      <c r="L1" s="173" t="s">
        <v>121</v>
      </c>
      <c r="M1" s="173" t="s">
        <v>10</v>
      </c>
    </row>
    <row r="2" ht="13.5" customHeight="1">
      <c r="A2" s="174">
        <v>43862.0</v>
      </c>
      <c r="B2" s="175">
        <f>456+426+820+175</f>
        <v>1877</v>
      </c>
      <c r="C2" s="185">
        <f>0.5*2380</f>
        <v>1190</v>
      </c>
      <c r="D2" s="175"/>
      <c r="E2" s="175">
        <f>874+100</f>
        <v>974</v>
      </c>
      <c r="F2" s="177">
        <f t="shared" ref="F2:F31" si="1">SUM(B2:E2)</f>
        <v>4041</v>
      </c>
      <c r="J2" s="185">
        <f>0.5*2380</f>
        <v>1190</v>
      </c>
      <c r="M2">
        <f t="shared" ref="M2:M30" si="2">sum(I2:L2)</f>
        <v>1190</v>
      </c>
    </row>
    <row r="3" ht="13.5" customHeight="1">
      <c r="A3" s="174">
        <v>43863.0</v>
      </c>
      <c r="B3" s="175">
        <f>807+1974+1006</f>
        <v>3787</v>
      </c>
      <c r="C3" s="176"/>
      <c r="D3" s="175"/>
      <c r="E3" s="175">
        <v>100.0</v>
      </c>
      <c r="F3" s="177">
        <f t="shared" si="1"/>
        <v>3887</v>
      </c>
      <c r="M3">
        <f t="shared" si="2"/>
        <v>0</v>
      </c>
    </row>
    <row r="4" ht="13.5" customHeight="1">
      <c r="A4" s="174">
        <v>43864.0</v>
      </c>
      <c r="B4" s="175">
        <f>2225+599</f>
        <v>2824</v>
      </c>
      <c r="C4" s="176"/>
      <c r="D4" s="176"/>
      <c r="E4" s="176"/>
      <c r="F4" s="177">
        <f t="shared" si="1"/>
        <v>2824</v>
      </c>
      <c r="M4">
        <f t="shared" si="2"/>
        <v>0</v>
      </c>
    </row>
    <row r="5" ht="13.5" customHeight="1">
      <c r="A5" s="174">
        <v>43865.0</v>
      </c>
      <c r="B5" s="175">
        <f>577</f>
        <v>577</v>
      </c>
      <c r="C5" s="176"/>
      <c r="D5" s="176"/>
      <c r="E5" s="176"/>
      <c r="F5" s="177">
        <f t="shared" si="1"/>
        <v>577</v>
      </c>
      <c r="M5">
        <f t="shared" si="2"/>
        <v>0</v>
      </c>
    </row>
    <row r="6" ht="13.5" customHeight="1">
      <c r="A6" s="174">
        <v>43866.0</v>
      </c>
      <c r="B6" s="175">
        <f>1129+316+402+900+700</f>
        <v>3447</v>
      </c>
      <c r="C6" s="176"/>
      <c r="D6" s="175">
        <v>1499.0</v>
      </c>
      <c r="E6" s="176"/>
      <c r="F6" s="177">
        <f t="shared" si="1"/>
        <v>4946</v>
      </c>
      <c r="M6">
        <f t="shared" si="2"/>
        <v>0</v>
      </c>
    </row>
    <row r="7" ht="13.5" customHeight="1">
      <c r="A7" s="174">
        <v>43867.0</v>
      </c>
      <c r="B7" s="178">
        <f>0.5*(367+405+103+1800+180)</f>
        <v>1427.5</v>
      </c>
      <c r="C7" s="176"/>
      <c r="D7" s="176"/>
      <c r="E7" s="176"/>
      <c r="F7" s="177">
        <f t="shared" si="1"/>
        <v>1427.5</v>
      </c>
      <c r="I7" s="178">
        <f>0.5*(367+405+103+1800+180)</f>
        <v>1427.5</v>
      </c>
      <c r="M7" s="184">
        <f t="shared" si="2"/>
        <v>1427.5</v>
      </c>
    </row>
    <row r="8" ht="13.5" customHeight="1">
      <c r="A8" s="174">
        <v>43868.0</v>
      </c>
      <c r="B8" s="179">
        <f>0.5*(1608+953)</f>
        <v>1280.5</v>
      </c>
      <c r="C8" s="175"/>
      <c r="D8" s="176"/>
      <c r="E8" s="176"/>
      <c r="F8" s="177">
        <f t="shared" si="1"/>
        <v>1280.5</v>
      </c>
      <c r="I8" s="179">
        <f>0.5*(1608+953)</f>
        <v>1280.5</v>
      </c>
      <c r="M8" s="184">
        <f t="shared" si="2"/>
        <v>1280.5</v>
      </c>
    </row>
    <row r="9" ht="13.5" customHeight="1">
      <c r="A9" s="174">
        <v>43869.0</v>
      </c>
      <c r="B9" s="178">
        <f>0.5*(208+513+135+226+1981+984+264)</f>
        <v>2155.5</v>
      </c>
      <c r="C9" s="176"/>
      <c r="D9" s="176"/>
      <c r="E9" s="176"/>
      <c r="F9" s="177">
        <f t="shared" si="1"/>
        <v>2155.5</v>
      </c>
      <c r="I9" s="178">
        <f>0.5*(208+513+135+226+1981+984+264)</f>
        <v>2155.5</v>
      </c>
      <c r="M9" s="184">
        <f t="shared" si="2"/>
        <v>2155.5</v>
      </c>
    </row>
    <row r="10" ht="13.5" customHeight="1">
      <c r="A10" s="174">
        <v>43870.0</v>
      </c>
      <c r="B10" s="178">
        <f>0.5*(1430+142+106)</f>
        <v>839</v>
      </c>
      <c r="C10" s="176"/>
      <c r="D10" s="176"/>
      <c r="E10" s="176"/>
      <c r="F10" s="177">
        <f t="shared" si="1"/>
        <v>839</v>
      </c>
      <c r="I10" s="178">
        <f>0.5*(1430+142+106)</f>
        <v>839</v>
      </c>
      <c r="M10" s="184">
        <f t="shared" si="2"/>
        <v>839</v>
      </c>
    </row>
    <row r="11" ht="13.5" customHeight="1">
      <c r="A11" s="174">
        <v>43871.0</v>
      </c>
      <c r="B11" s="178">
        <f>0.5*(1810+503+108+971+108)</f>
        <v>1750</v>
      </c>
      <c r="C11" s="176"/>
      <c r="D11" s="175"/>
      <c r="E11" s="175"/>
      <c r="F11" s="177">
        <f t="shared" si="1"/>
        <v>1750</v>
      </c>
      <c r="I11" s="178">
        <f>0.5*(1810+503+108+971+108)</f>
        <v>1750</v>
      </c>
      <c r="M11" s="184">
        <f t="shared" si="2"/>
        <v>1750</v>
      </c>
    </row>
    <row r="12" ht="13.5" customHeight="1">
      <c r="A12" s="174">
        <v>43872.0</v>
      </c>
      <c r="B12" s="178">
        <f>0.5*(5398+644+216+848+226)</f>
        <v>3666</v>
      </c>
      <c r="C12" s="175"/>
      <c r="D12" s="176"/>
      <c r="E12" s="178">
        <f>0.5*(1407)</f>
        <v>703.5</v>
      </c>
      <c r="F12" s="177">
        <f t="shared" si="1"/>
        <v>4369.5</v>
      </c>
      <c r="I12" s="178">
        <f>0.5*(5398+644+216+848+226)</f>
        <v>3666</v>
      </c>
      <c r="L12" s="178">
        <f>0.5*(1407)</f>
        <v>703.5</v>
      </c>
      <c r="M12" s="184">
        <f t="shared" si="2"/>
        <v>4369.5</v>
      </c>
    </row>
    <row r="13" ht="13.5" customHeight="1">
      <c r="A13" s="174">
        <v>43873.0</v>
      </c>
      <c r="B13" s="178">
        <f>0.5*(108+108+537+1000)</f>
        <v>876.5</v>
      </c>
      <c r="C13" s="176"/>
      <c r="D13" s="176"/>
      <c r="E13" s="176"/>
      <c r="F13" s="177">
        <f t="shared" si="1"/>
        <v>876.5</v>
      </c>
      <c r="I13" s="178">
        <f>0.5*(108+108+537+1000)</f>
        <v>876.5</v>
      </c>
      <c r="M13" s="184">
        <f t="shared" si="2"/>
        <v>876.5</v>
      </c>
    </row>
    <row r="14" ht="13.5" customHeight="1">
      <c r="A14" s="174">
        <v>43874.0</v>
      </c>
      <c r="B14" s="178">
        <f>0.5*(2079+432)</f>
        <v>1255.5</v>
      </c>
      <c r="C14" s="176"/>
      <c r="D14" s="176"/>
      <c r="E14" s="176"/>
      <c r="F14" s="177">
        <f t="shared" si="1"/>
        <v>1255.5</v>
      </c>
      <c r="I14" s="178">
        <f>0.5*(2079+432)</f>
        <v>1255.5</v>
      </c>
      <c r="M14" s="184">
        <f t="shared" si="2"/>
        <v>1255.5</v>
      </c>
    </row>
    <row r="15" ht="13.5" customHeight="1">
      <c r="A15" s="174">
        <v>43875.0</v>
      </c>
      <c r="B15" s="179">
        <f>0.5*(380+810+1114)</f>
        <v>1152</v>
      </c>
      <c r="C15" s="176"/>
      <c r="D15" s="176"/>
      <c r="E15" s="176"/>
      <c r="F15" s="177">
        <f t="shared" si="1"/>
        <v>1152</v>
      </c>
      <c r="I15" s="179">
        <f>0.5*(380+810+1114)</f>
        <v>1152</v>
      </c>
      <c r="M15" s="184">
        <f t="shared" si="2"/>
        <v>1152</v>
      </c>
    </row>
    <row r="16" ht="13.5" customHeight="1">
      <c r="A16" s="174">
        <v>43876.0</v>
      </c>
      <c r="B16" s="178">
        <f>0.5*(754+617+281)</f>
        <v>826</v>
      </c>
      <c r="C16" s="176"/>
      <c r="D16" s="176"/>
      <c r="E16" s="176"/>
      <c r="F16" s="177">
        <f t="shared" si="1"/>
        <v>826</v>
      </c>
      <c r="I16" s="178">
        <f>0.5*(754+617+281)</f>
        <v>826</v>
      </c>
      <c r="M16" s="184">
        <f t="shared" si="2"/>
        <v>826</v>
      </c>
    </row>
    <row r="17" ht="13.5" customHeight="1">
      <c r="A17" s="174">
        <v>43877.0</v>
      </c>
      <c r="B17" s="178">
        <f>0.5*(108+851+2467+408)</f>
        <v>1917</v>
      </c>
      <c r="C17" s="176"/>
      <c r="D17" s="176"/>
      <c r="E17" s="175">
        <v>250.0</v>
      </c>
      <c r="F17" s="177">
        <f t="shared" si="1"/>
        <v>2167</v>
      </c>
      <c r="I17" s="178">
        <f>0.5*(108+851+2467+408)</f>
        <v>1917</v>
      </c>
      <c r="L17" s="171">
        <v>166.0</v>
      </c>
      <c r="M17" s="184">
        <f t="shared" si="2"/>
        <v>2083</v>
      </c>
    </row>
    <row r="18" ht="13.5" customHeight="1">
      <c r="A18" s="174">
        <v>43878.0</v>
      </c>
      <c r="B18" s="175"/>
      <c r="C18" s="176"/>
      <c r="D18" s="176"/>
      <c r="E18" s="176"/>
      <c r="F18" s="177">
        <f t="shared" si="1"/>
        <v>0</v>
      </c>
      <c r="I18" s="175"/>
      <c r="M18" s="184">
        <f t="shared" si="2"/>
        <v>0</v>
      </c>
    </row>
    <row r="19" ht="13.5" customHeight="1">
      <c r="A19" s="174">
        <v>43879.0</v>
      </c>
      <c r="B19" s="178">
        <f>0.5*(102+7922)</f>
        <v>4012</v>
      </c>
      <c r="C19" s="176"/>
      <c r="D19" s="176"/>
      <c r="E19" s="175"/>
      <c r="F19" s="177">
        <f t="shared" si="1"/>
        <v>4012</v>
      </c>
      <c r="I19" s="178">
        <f>0.5*(102+7922)</f>
        <v>4012</v>
      </c>
      <c r="M19" s="184">
        <f t="shared" si="2"/>
        <v>4012</v>
      </c>
    </row>
    <row r="20" ht="13.5" customHeight="1">
      <c r="A20" s="174">
        <v>43880.0</v>
      </c>
      <c r="B20" s="175"/>
      <c r="C20" s="176"/>
      <c r="D20" s="175"/>
      <c r="E20" s="175"/>
      <c r="F20" s="177">
        <f t="shared" si="1"/>
        <v>0</v>
      </c>
      <c r="I20" s="175"/>
      <c r="M20" s="184">
        <f t="shared" si="2"/>
        <v>0</v>
      </c>
    </row>
    <row r="21" ht="13.5" customHeight="1">
      <c r="A21" s="174">
        <v>43881.0</v>
      </c>
      <c r="B21" s="179">
        <f>0.5*(626+4547+1037)</f>
        <v>3105</v>
      </c>
      <c r="C21" s="176"/>
      <c r="D21" s="176"/>
      <c r="E21" s="175">
        <v>6885.0</v>
      </c>
      <c r="F21" s="177">
        <f t="shared" si="1"/>
        <v>9990</v>
      </c>
      <c r="I21" s="179">
        <f>0.5*(626+4547+1037)</f>
        <v>3105</v>
      </c>
      <c r="M21" s="184">
        <f t="shared" si="2"/>
        <v>3105</v>
      </c>
    </row>
    <row r="22" ht="13.5" customHeight="1">
      <c r="A22" s="174">
        <v>43882.0</v>
      </c>
      <c r="B22" s="176"/>
      <c r="C22" s="176"/>
      <c r="D22" s="176"/>
      <c r="E22" s="186">
        <f>0.5*7611+2408</f>
        <v>6213.5</v>
      </c>
      <c r="F22" s="177">
        <f t="shared" si="1"/>
        <v>6213.5</v>
      </c>
      <c r="I22" s="176"/>
      <c r="L22" s="187">
        <f>0.5*7611</f>
        <v>3805.5</v>
      </c>
      <c r="M22" s="184">
        <f t="shared" si="2"/>
        <v>3805.5</v>
      </c>
    </row>
    <row r="23" ht="13.5" customHeight="1">
      <c r="A23" s="174">
        <v>43883.0</v>
      </c>
      <c r="B23" s="178">
        <f>0.5*(1609+108+3164+1612+322+518)</f>
        <v>3666.5</v>
      </c>
      <c r="C23" s="176"/>
      <c r="D23" s="176"/>
      <c r="E23" s="176"/>
      <c r="F23" s="177">
        <f t="shared" si="1"/>
        <v>3666.5</v>
      </c>
      <c r="I23" s="178">
        <f>0.5*(1609+108+3164+1612+322+518)</f>
        <v>3666.5</v>
      </c>
      <c r="K23" s="171">
        <v>308.0</v>
      </c>
      <c r="M23" s="184">
        <f t="shared" si="2"/>
        <v>3974.5</v>
      </c>
    </row>
    <row r="24" ht="13.5" customHeight="1">
      <c r="A24" s="174">
        <v>43884.0</v>
      </c>
      <c r="B24" s="176"/>
      <c r="C24" s="176"/>
      <c r="D24" s="176"/>
      <c r="E24" s="179">
        <f>0.5*(1000+9960)</f>
        <v>5480</v>
      </c>
      <c r="F24" s="177">
        <f t="shared" si="1"/>
        <v>5480</v>
      </c>
      <c r="I24" s="176"/>
      <c r="L24" s="179">
        <f>0.5*(1000+9960)</f>
        <v>5480</v>
      </c>
      <c r="M24" s="184">
        <f t="shared" si="2"/>
        <v>5480</v>
      </c>
    </row>
    <row r="25" ht="13.5" customHeight="1">
      <c r="A25" s="174">
        <v>43885.0</v>
      </c>
      <c r="B25" s="176"/>
      <c r="C25" s="176"/>
      <c r="D25" s="176"/>
      <c r="E25" s="176"/>
      <c r="F25" s="177">
        <f t="shared" si="1"/>
        <v>0</v>
      </c>
      <c r="I25" s="176"/>
      <c r="L25" s="176"/>
      <c r="M25" s="184">
        <f t="shared" si="2"/>
        <v>0</v>
      </c>
    </row>
    <row r="26" ht="13.5" customHeight="1">
      <c r="A26" s="174">
        <v>43886.0</v>
      </c>
      <c r="B26" s="179">
        <f>0.5*(869+369+9861+5510)</f>
        <v>8304.5</v>
      </c>
      <c r="C26" s="176"/>
      <c r="D26" s="176"/>
      <c r="E26" s="178">
        <f>0.5*(6210)</f>
        <v>3105</v>
      </c>
      <c r="F26" s="177">
        <f t="shared" si="1"/>
        <v>11409.5</v>
      </c>
      <c r="I26" s="179">
        <f>0.5*(869+369+9861+5510)</f>
        <v>8304.5</v>
      </c>
      <c r="L26" s="178">
        <f>0.5*(6210)</f>
        <v>3105</v>
      </c>
      <c r="M26" s="184">
        <f t="shared" si="2"/>
        <v>11409.5</v>
      </c>
    </row>
    <row r="27" ht="13.5" customHeight="1">
      <c r="A27" s="174">
        <v>43887.0</v>
      </c>
      <c r="B27" s="176"/>
      <c r="C27" s="176"/>
      <c r="D27" s="176"/>
      <c r="E27" s="176"/>
      <c r="F27" s="177">
        <f t="shared" si="1"/>
        <v>0</v>
      </c>
      <c r="M27">
        <f t="shared" si="2"/>
        <v>0</v>
      </c>
    </row>
    <row r="28" ht="13.5" customHeight="1">
      <c r="A28" s="174">
        <v>43888.0</v>
      </c>
      <c r="B28" s="176"/>
      <c r="C28" s="176"/>
      <c r="D28" s="176"/>
      <c r="E28" s="176"/>
      <c r="F28" s="177">
        <f t="shared" si="1"/>
        <v>0</v>
      </c>
      <c r="L28" s="171">
        <v>8793.0</v>
      </c>
      <c r="M28">
        <f t="shared" si="2"/>
        <v>8793</v>
      </c>
    </row>
    <row r="29" ht="13.5" customHeight="1">
      <c r="A29" s="174">
        <v>43889.0</v>
      </c>
      <c r="B29" s="176"/>
      <c r="C29" s="176"/>
      <c r="D29" s="176"/>
      <c r="E29" s="176"/>
      <c r="F29" s="177">
        <f t="shared" si="1"/>
        <v>0</v>
      </c>
      <c r="M29">
        <f t="shared" si="2"/>
        <v>0</v>
      </c>
    </row>
    <row r="30" ht="13.5" customHeight="1">
      <c r="A30" s="174">
        <v>43890.0</v>
      </c>
      <c r="B30" s="188">
        <v>4845.0</v>
      </c>
      <c r="C30" s="188"/>
      <c r="D30" s="188">
        <v>606.0</v>
      </c>
      <c r="E30" s="176">
        <f>5383+3626</f>
        <v>9009</v>
      </c>
      <c r="F30" s="177">
        <f t="shared" si="1"/>
        <v>14460</v>
      </c>
      <c r="M30">
        <f t="shared" si="2"/>
        <v>0</v>
      </c>
    </row>
    <row r="31" ht="13.5" customHeight="1">
      <c r="A31" s="182" t="s">
        <v>399</v>
      </c>
      <c r="B31" s="177">
        <f t="shared" ref="B31:E31" si="3">SUM(B2:B30)</f>
        <v>53590.5</v>
      </c>
      <c r="C31" s="177">
        <f t="shared" si="3"/>
        <v>1190</v>
      </c>
      <c r="D31" s="177">
        <f t="shared" si="3"/>
        <v>2105</v>
      </c>
      <c r="E31" s="177">
        <f t="shared" si="3"/>
        <v>32720</v>
      </c>
      <c r="F31" s="177">
        <f t="shared" si="1"/>
        <v>89605.5</v>
      </c>
      <c r="I31">
        <f t="shared" ref="I31:M31" si="4">sum(I2:I30)</f>
        <v>36233.5</v>
      </c>
      <c r="J31" s="184">
        <f t="shared" si="4"/>
        <v>1190</v>
      </c>
      <c r="K31">
        <f t="shared" si="4"/>
        <v>308</v>
      </c>
      <c r="L31">
        <f t="shared" si="4"/>
        <v>22053</v>
      </c>
      <c r="M31">
        <f t="shared" si="4"/>
        <v>59784.5</v>
      </c>
    </row>
    <row r="32" ht="13.5" customHeight="1">
      <c r="M32" s="171">
        <v>-8576.0</v>
      </c>
    </row>
    <row r="33" ht="13.5" customHeight="1">
      <c r="M33">
        <f>M31+M32</f>
        <v>51208.5</v>
      </c>
    </row>
    <row r="34" ht="13.5" customHeight="1"/>
    <row r="35" ht="13.5" customHeight="1"/>
    <row r="36" ht="13.5" customHeight="1"/>
    <row r="37" ht="13.5" customHeight="1"/>
    <row r="38" ht="13.5" customHeight="1"/>
    <row r="39" ht="13.5" customHeight="1">
      <c r="L39" s="188"/>
    </row>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sheetData>
  <printOptions/>
  <pageMargins bottom="0.75" footer="0.0" header="0.0" left="0.7" right="0.7" top="0.75"/>
  <pageSetup paperSize="9" orientation="portrait"/>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c r="H1" s="172"/>
      <c r="I1" s="173" t="s">
        <v>63</v>
      </c>
      <c r="J1" s="173" t="s">
        <v>64</v>
      </c>
      <c r="K1" s="173" t="s">
        <v>24</v>
      </c>
      <c r="L1" s="173" t="s">
        <v>121</v>
      </c>
      <c r="M1" s="173" t="s">
        <v>10</v>
      </c>
    </row>
    <row r="2" ht="13.5" customHeight="1">
      <c r="A2" s="174">
        <v>43831.0</v>
      </c>
      <c r="B2" s="178">
        <f>0.5*(108+1138)</f>
        <v>623</v>
      </c>
      <c r="C2" s="176"/>
      <c r="D2" s="176"/>
      <c r="E2" s="175"/>
      <c r="F2" s="177">
        <f t="shared" ref="F2:F33" si="1">SUM(B2:E2)</f>
        <v>623</v>
      </c>
      <c r="H2" s="174">
        <v>43831.0</v>
      </c>
      <c r="I2" s="178">
        <f>0.5*(108+1138)</f>
        <v>623</v>
      </c>
      <c r="M2" s="184">
        <f t="shared" ref="M2:M33" si="2">sum(I2:L2)</f>
        <v>623</v>
      </c>
    </row>
    <row r="3" ht="13.5" customHeight="1">
      <c r="A3" s="174">
        <v>43832.0</v>
      </c>
      <c r="B3" s="175">
        <v>4000.0</v>
      </c>
      <c r="C3" s="175">
        <v>700.0</v>
      </c>
      <c r="D3" s="176"/>
      <c r="E3" s="175"/>
      <c r="F3" s="177">
        <f t="shared" si="1"/>
        <v>4700</v>
      </c>
      <c r="H3" s="174">
        <v>43832.0</v>
      </c>
      <c r="I3" s="175"/>
      <c r="J3" s="171">
        <v>1300.0</v>
      </c>
      <c r="M3" s="184">
        <f t="shared" si="2"/>
        <v>1300</v>
      </c>
    </row>
    <row r="4" ht="13.5" customHeight="1">
      <c r="A4" s="174">
        <v>43833.0</v>
      </c>
      <c r="B4" s="178">
        <f>0.5*(404+304+546)</f>
        <v>627</v>
      </c>
      <c r="C4" s="176"/>
      <c r="D4" s="176"/>
      <c r="E4" s="176"/>
      <c r="F4" s="177">
        <f t="shared" si="1"/>
        <v>627</v>
      </c>
      <c r="H4" s="174">
        <v>43833.0</v>
      </c>
      <c r="I4" s="178">
        <f>0.5*(404+304+546)</f>
        <v>627</v>
      </c>
      <c r="M4" s="184">
        <f t="shared" si="2"/>
        <v>627</v>
      </c>
    </row>
    <row r="5" ht="13.5" customHeight="1">
      <c r="A5" s="174">
        <v>43834.0</v>
      </c>
      <c r="B5" s="178">
        <f>0.5*(195+621+128)</f>
        <v>472</v>
      </c>
      <c r="C5" s="176"/>
      <c r="D5" s="176"/>
      <c r="E5" s="176"/>
      <c r="F5" s="177">
        <f t="shared" si="1"/>
        <v>472</v>
      </c>
      <c r="H5" s="174">
        <v>43834.0</v>
      </c>
      <c r="I5" s="178">
        <f>0.5*(195+621+128)</f>
        <v>472</v>
      </c>
      <c r="M5" s="184">
        <f t="shared" si="2"/>
        <v>472</v>
      </c>
    </row>
    <row r="6" ht="13.5" customHeight="1">
      <c r="A6" s="174">
        <v>43835.0</v>
      </c>
      <c r="B6" s="178">
        <f>0.5*(427+1448+108+1700)</f>
        <v>1841.5</v>
      </c>
      <c r="C6" s="176"/>
      <c r="D6" s="176"/>
      <c r="E6" s="176"/>
      <c r="F6" s="177">
        <f t="shared" si="1"/>
        <v>1841.5</v>
      </c>
      <c r="H6" s="174">
        <v>43835.0</v>
      </c>
      <c r="I6" s="178">
        <f>0.5*(427+1448+108+1700)</f>
        <v>1841.5</v>
      </c>
      <c r="M6" s="184">
        <f t="shared" si="2"/>
        <v>1841.5</v>
      </c>
    </row>
    <row r="7" ht="13.5" customHeight="1">
      <c r="A7" s="174">
        <v>43836.0</v>
      </c>
      <c r="B7" s="178">
        <f>0.5*(890+603+110)</f>
        <v>801.5</v>
      </c>
      <c r="C7" s="176"/>
      <c r="D7" s="179">
        <f>0.5*899</f>
        <v>449.5</v>
      </c>
      <c r="E7" s="176"/>
      <c r="F7" s="177">
        <f t="shared" si="1"/>
        <v>1251</v>
      </c>
      <c r="H7" s="174">
        <v>43836.0</v>
      </c>
      <c r="I7" s="178">
        <f>0.5*(890+603+110)</f>
        <v>801.5</v>
      </c>
      <c r="K7" s="171">
        <f>1100+690+450</f>
        <v>2240</v>
      </c>
      <c r="M7" s="184">
        <f t="shared" si="2"/>
        <v>3041.5</v>
      </c>
    </row>
    <row r="8" ht="13.5" customHeight="1">
      <c r="A8" s="174">
        <v>43837.0</v>
      </c>
      <c r="B8" s="178">
        <f>0.5*(168+216+792+451+108+500)</f>
        <v>1117.5</v>
      </c>
      <c r="C8" s="175"/>
      <c r="D8" s="176"/>
      <c r="E8" s="176"/>
      <c r="F8" s="177">
        <f t="shared" si="1"/>
        <v>1117.5</v>
      </c>
      <c r="H8" s="174">
        <v>43837.0</v>
      </c>
      <c r="I8" s="178">
        <f>0.5*(168+216+792+451+108+500)</f>
        <v>1117.5</v>
      </c>
      <c r="M8" s="184">
        <f t="shared" si="2"/>
        <v>1117.5</v>
      </c>
    </row>
    <row r="9" ht="13.5" customHeight="1">
      <c r="A9" s="174">
        <v>43838.0</v>
      </c>
      <c r="B9" s="178">
        <f>0.5*(2683+461+699)</f>
        <v>1921.5</v>
      </c>
      <c r="C9" s="176"/>
      <c r="D9" s="178">
        <f>0.5*220</f>
        <v>110</v>
      </c>
      <c r="E9" s="176"/>
      <c r="F9" s="177">
        <f t="shared" si="1"/>
        <v>2031.5</v>
      </c>
      <c r="H9" s="174">
        <v>43838.0</v>
      </c>
      <c r="I9" s="178">
        <f>0.5*(2683+461+699)</f>
        <v>1921.5</v>
      </c>
      <c r="K9" s="178">
        <f>0.5*220</f>
        <v>110</v>
      </c>
      <c r="M9" s="184">
        <f t="shared" si="2"/>
        <v>2031.5</v>
      </c>
    </row>
    <row r="10" ht="13.5" customHeight="1">
      <c r="A10" s="174">
        <v>43839.0</v>
      </c>
      <c r="B10" s="178">
        <f>0.5*(803+610+1800)</f>
        <v>1606.5</v>
      </c>
      <c r="C10" s="176"/>
      <c r="D10" s="176"/>
      <c r="E10" s="176"/>
      <c r="F10" s="177">
        <f t="shared" si="1"/>
        <v>1606.5</v>
      </c>
      <c r="H10" s="174">
        <v>43839.0</v>
      </c>
      <c r="I10" s="178">
        <f>0.5*(803+610+1800)</f>
        <v>1606.5</v>
      </c>
      <c r="K10" s="175">
        <v>1499.0</v>
      </c>
      <c r="M10" s="184">
        <f t="shared" si="2"/>
        <v>3105.5</v>
      </c>
    </row>
    <row r="11" ht="13.5" customHeight="1">
      <c r="A11" s="174">
        <v>43840.0</v>
      </c>
      <c r="B11" s="178">
        <f>0.5*(568+622+316+2880)</f>
        <v>2193</v>
      </c>
      <c r="C11" s="176"/>
      <c r="D11" s="175"/>
      <c r="E11" s="175"/>
      <c r="F11" s="177">
        <f t="shared" si="1"/>
        <v>2193</v>
      </c>
      <c r="H11" s="174">
        <v>43840.0</v>
      </c>
      <c r="I11" s="178">
        <f>0.5*(568+622+316+2880)</f>
        <v>2193</v>
      </c>
      <c r="K11" s="175"/>
      <c r="M11" s="184">
        <f t="shared" si="2"/>
        <v>2193</v>
      </c>
    </row>
    <row r="12" ht="13.5" customHeight="1">
      <c r="A12" s="174">
        <v>43841.0</v>
      </c>
      <c r="B12" s="178">
        <f>0.5*(1108+213+1800)</f>
        <v>1560.5</v>
      </c>
      <c r="C12" s="175"/>
      <c r="D12" s="178">
        <f>0.5*330</f>
        <v>165</v>
      </c>
      <c r="E12" s="176"/>
      <c r="F12" s="177">
        <f t="shared" si="1"/>
        <v>1725.5</v>
      </c>
      <c r="H12" s="174">
        <v>43841.0</v>
      </c>
      <c r="I12" s="178">
        <f>0.5*(1108+213+1800)</f>
        <v>1560.5</v>
      </c>
      <c r="K12" s="178">
        <f>0.5*330</f>
        <v>165</v>
      </c>
      <c r="M12" s="184">
        <f t="shared" si="2"/>
        <v>1725.5</v>
      </c>
    </row>
    <row r="13" ht="13.5" customHeight="1">
      <c r="A13" s="174">
        <v>43842.0</v>
      </c>
      <c r="B13" s="178">
        <f>0.5*(549+217+1483+161)</f>
        <v>1205</v>
      </c>
      <c r="C13" s="176"/>
      <c r="D13" s="176"/>
      <c r="E13" s="176"/>
      <c r="F13" s="177">
        <f t="shared" si="1"/>
        <v>1205</v>
      </c>
      <c r="H13" s="174">
        <v>43842.0</v>
      </c>
      <c r="I13" s="178">
        <f>0.5*(549+217+1483+161)</f>
        <v>1205</v>
      </c>
      <c r="K13" s="171">
        <v>135.0</v>
      </c>
      <c r="M13" s="184">
        <f t="shared" si="2"/>
        <v>1340</v>
      </c>
    </row>
    <row r="14" ht="13.5" customHeight="1">
      <c r="A14" s="174">
        <v>43843.0</v>
      </c>
      <c r="B14" s="178">
        <f>0.5*(572+321+470+174+500)</f>
        <v>1018.5</v>
      </c>
      <c r="C14" s="176"/>
      <c r="D14" s="176"/>
      <c r="E14" s="176"/>
      <c r="F14" s="177">
        <f t="shared" si="1"/>
        <v>1018.5</v>
      </c>
      <c r="H14" s="174">
        <v>43843.0</v>
      </c>
      <c r="I14" s="178">
        <f>0.5*(572+321+470+174+500)</f>
        <v>1018.5</v>
      </c>
      <c r="M14" s="184">
        <f t="shared" si="2"/>
        <v>1018.5</v>
      </c>
    </row>
    <row r="15" ht="13.5" customHeight="1">
      <c r="A15" s="174">
        <v>43844.0</v>
      </c>
      <c r="B15" s="178">
        <f>0.5*(293+146+108+1300+319+632)</f>
        <v>1399</v>
      </c>
      <c r="C15" s="176"/>
      <c r="D15" s="176"/>
      <c r="E15" s="176"/>
      <c r="F15" s="177">
        <f t="shared" si="1"/>
        <v>1399</v>
      </c>
      <c r="H15" s="174">
        <v>43844.0</v>
      </c>
      <c r="I15" s="178">
        <f>0.5*(293+146+108+1300+319+632)</f>
        <v>1399</v>
      </c>
      <c r="L15" s="171">
        <v>1322.0</v>
      </c>
      <c r="M15" s="184">
        <f t="shared" si="2"/>
        <v>2721</v>
      </c>
    </row>
    <row r="16" ht="13.5" customHeight="1">
      <c r="A16" s="174">
        <v>43845.0</v>
      </c>
      <c r="B16" s="178">
        <f>0.5*(388+599+732+270+108+200)</f>
        <v>1148.5</v>
      </c>
      <c r="C16" s="176"/>
      <c r="D16" s="176"/>
      <c r="E16" s="176"/>
      <c r="F16" s="177">
        <f t="shared" si="1"/>
        <v>1148.5</v>
      </c>
      <c r="H16" s="174">
        <v>43845.0</v>
      </c>
      <c r="I16" s="178">
        <f>0.5*(388+599+732+270+108+200)</f>
        <v>1148.5</v>
      </c>
      <c r="M16" s="184">
        <f t="shared" si="2"/>
        <v>1148.5</v>
      </c>
    </row>
    <row r="17" ht="13.5" customHeight="1">
      <c r="A17" s="174">
        <v>43846.0</v>
      </c>
      <c r="B17" s="178">
        <f>0.5*(725+265+1382)</f>
        <v>1186</v>
      </c>
      <c r="C17" s="176"/>
      <c r="D17" s="176"/>
      <c r="E17" s="175">
        <v>250.0</v>
      </c>
      <c r="F17" s="177">
        <f t="shared" si="1"/>
        <v>1436</v>
      </c>
      <c r="H17" s="174">
        <v>43846.0</v>
      </c>
      <c r="I17" s="178">
        <f>0.5*(725+265+1382)</f>
        <v>1186</v>
      </c>
      <c r="M17" s="184">
        <f t="shared" si="2"/>
        <v>1186</v>
      </c>
    </row>
    <row r="18" ht="13.5" customHeight="1">
      <c r="A18" s="174">
        <v>43847.0</v>
      </c>
      <c r="B18" s="178">
        <f>0.5*(722+871+525+492)</f>
        <v>1305</v>
      </c>
      <c r="C18" s="176"/>
      <c r="D18" s="176"/>
      <c r="E18" s="176"/>
      <c r="F18" s="177">
        <f t="shared" si="1"/>
        <v>1305</v>
      </c>
      <c r="H18" s="174">
        <v>43847.0</v>
      </c>
      <c r="I18" s="178">
        <f>0.5*(722+871+525+492)</f>
        <v>1305</v>
      </c>
      <c r="M18" s="184">
        <f t="shared" si="2"/>
        <v>1305</v>
      </c>
    </row>
    <row r="19" ht="13.5" customHeight="1">
      <c r="A19" s="174">
        <v>43848.0</v>
      </c>
      <c r="B19" s="178">
        <f>0.5*(105+1246+1235+536)</f>
        <v>1561</v>
      </c>
      <c r="C19" s="176"/>
      <c r="D19" s="178">
        <f>0.5*537</f>
        <v>268.5</v>
      </c>
      <c r="E19" s="175"/>
      <c r="F19" s="177">
        <f t="shared" si="1"/>
        <v>1829.5</v>
      </c>
      <c r="H19" s="174">
        <v>43848.0</v>
      </c>
      <c r="I19" s="178">
        <f>0.5*(105+1246+1235+536)</f>
        <v>1561</v>
      </c>
      <c r="K19" s="178">
        <f>0.5*537</f>
        <v>268.5</v>
      </c>
      <c r="M19" s="184">
        <f t="shared" si="2"/>
        <v>1829.5</v>
      </c>
    </row>
    <row r="20" ht="13.5" customHeight="1">
      <c r="A20" s="174">
        <v>43849.0</v>
      </c>
      <c r="B20" s="178">
        <f>0.5*(1067+1051+792+643+1400)</f>
        <v>2476.5</v>
      </c>
      <c r="C20" s="176"/>
      <c r="D20" s="178">
        <f>0.5*220</f>
        <v>110</v>
      </c>
      <c r="E20" s="175"/>
      <c r="F20" s="177">
        <f t="shared" si="1"/>
        <v>2586.5</v>
      </c>
      <c r="H20" s="174">
        <v>43849.0</v>
      </c>
      <c r="I20" s="178">
        <f>0.5*(1067+1051+792+643+1400)</f>
        <v>2476.5</v>
      </c>
      <c r="K20" s="178">
        <f>0.5*220</f>
        <v>110</v>
      </c>
      <c r="M20" s="184">
        <f t="shared" si="2"/>
        <v>2586.5</v>
      </c>
    </row>
    <row r="21" ht="13.5" customHeight="1">
      <c r="A21" s="174">
        <v>43850.0</v>
      </c>
      <c r="B21" s="178">
        <f>0.5*(115+388+547+1730)</f>
        <v>1390</v>
      </c>
      <c r="C21" s="176"/>
      <c r="D21" s="176"/>
      <c r="E21" s="176"/>
      <c r="F21" s="177">
        <f t="shared" si="1"/>
        <v>1390</v>
      </c>
      <c r="H21" s="174">
        <v>43850.0</v>
      </c>
      <c r="I21" s="178">
        <f>0.5*(115+388+547+1730)</f>
        <v>1390</v>
      </c>
      <c r="K21" s="171">
        <f>748+1267</f>
        <v>2015</v>
      </c>
      <c r="M21" s="184">
        <f t="shared" si="2"/>
        <v>3405</v>
      </c>
    </row>
    <row r="22" ht="13.5" customHeight="1">
      <c r="A22" s="174">
        <v>43851.0</v>
      </c>
      <c r="B22" s="178">
        <f>0.5*(888+1680)</f>
        <v>1284</v>
      </c>
      <c r="C22" s="176"/>
      <c r="D22" s="176"/>
      <c r="E22" s="176"/>
      <c r="F22" s="177">
        <f t="shared" si="1"/>
        <v>1284</v>
      </c>
      <c r="H22" s="174">
        <v>43851.0</v>
      </c>
      <c r="I22" s="178">
        <f>0.5*(888+1680)</f>
        <v>1284</v>
      </c>
      <c r="M22" s="184">
        <f t="shared" si="2"/>
        <v>1284</v>
      </c>
    </row>
    <row r="23" ht="13.5" customHeight="1">
      <c r="A23" s="174">
        <v>43852.0</v>
      </c>
      <c r="B23" s="178">
        <f>0.5*(110+1106+140)</f>
        <v>678</v>
      </c>
      <c r="C23" s="175">
        <v>1990.0</v>
      </c>
      <c r="D23" s="176"/>
      <c r="E23" s="178">
        <f>0.5*880</f>
        <v>440</v>
      </c>
      <c r="F23" s="177">
        <f t="shared" si="1"/>
        <v>3108</v>
      </c>
      <c r="H23" s="174">
        <v>43852.0</v>
      </c>
      <c r="I23" s="178">
        <f>0.5*(110+1106+140)</f>
        <v>678</v>
      </c>
      <c r="K23" s="171">
        <f>5390+877+330</f>
        <v>6597</v>
      </c>
      <c r="L23" s="178">
        <f>0.5*880</f>
        <v>440</v>
      </c>
      <c r="M23" s="184">
        <f t="shared" si="2"/>
        <v>7715</v>
      </c>
    </row>
    <row r="24" ht="13.5" customHeight="1">
      <c r="A24" s="174">
        <v>43853.0</v>
      </c>
      <c r="B24" s="178">
        <f>0.5*(994+141+1176+733+290+757+542)</f>
        <v>2316.5</v>
      </c>
      <c r="C24" s="176"/>
      <c r="D24" s="176"/>
      <c r="E24" s="179">
        <f>0.5*865</f>
        <v>432.5</v>
      </c>
      <c r="F24" s="177">
        <f t="shared" si="1"/>
        <v>2749</v>
      </c>
      <c r="H24" s="174">
        <v>43853.0</v>
      </c>
      <c r="I24" s="178">
        <f>0.5*(994+141+1176+733+290+757+542)</f>
        <v>2316.5</v>
      </c>
      <c r="L24" s="179">
        <f>0.5*865</f>
        <v>432.5</v>
      </c>
      <c r="M24" s="184">
        <f t="shared" si="2"/>
        <v>2749</v>
      </c>
    </row>
    <row r="25" ht="13.5" customHeight="1">
      <c r="A25" s="174">
        <v>43854.0</v>
      </c>
      <c r="B25" s="178">
        <f>0.5*(1260+145+156+3153)</f>
        <v>2357</v>
      </c>
      <c r="C25" s="176"/>
      <c r="D25" s="178">
        <f>0.5*836</f>
        <v>418</v>
      </c>
      <c r="E25" s="176"/>
      <c r="F25" s="177">
        <f t="shared" si="1"/>
        <v>2775</v>
      </c>
      <c r="H25" s="174">
        <v>43854.0</v>
      </c>
      <c r="I25" s="178">
        <f>0.5*(1260+145+156+3153)</f>
        <v>2357</v>
      </c>
      <c r="K25" s="178">
        <f>0.5*836</f>
        <v>418</v>
      </c>
      <c r="M25" s="184">
        <f t="shared" si="2"/>
        <v>2775</v>
      </c>
    </row>
    <row r="26" ht="13.5" customHeight="1">
      <c r="A26" s="174">
        <v>43855.0</v>
      </c>
      <c r="B26" s="178">
        <f>0.5*(1800+474+168)</f>
        <v>1221</v>
      </c>
      <c r="C26" s="176"/>
      <c r="D26" s="176"/>
      <c r="E26" s="176"/>
      <c r="F26" s="177">
        <f t="shared" si="1"/>
        <v>1221</v>
      </c>
      <c r="H26" s="174">
        <v>43855.0</v>
      </c>
      <c r="I26" s="178">
        <f>0.5*(1800+474+168)</f>
        <v>1221</v>
      </c>
      <c r="M26" s="184">
        <f t="shared" si="2"/>
        <v>1221</v>
      </c>
    </row>
    <row r="27" ht="13.5" customHeight="1">
      <c r="A27" s="174">
        <v>43856.0</v>
      </c>
      <c r="B27" s="175">
        <f>600+600+156</f>
        <v>1356</v>
      </c>
      <c r="C27" s="175">
        <v>670.0</v>
      </c>
      <c r="D27" s="176"/>
      <c r="E27" s="176"/>
      <c r="F27" s="177">
        <f t="shared" si="1"/>
        <v>2026</v>
      </c>
      <c r="H27" s="174">
        <v>43856.0</v>
      </c>
      <c r="M27">
        <f t="shared" si="2"/>
        <v>0</v>
      </c>
    </row>
    <row r="28" ht="13.5" customHeight="1">
      <c r="A28" s="174">
        <v>43857.0</v>
      </c>
      <c r="B28" s="175">
        <f>511+489+627</f>
        <v>1627</v>
      </c>
      <c r="C28" s="176"/>
      <c r="D28" s="176"/>
      <c r="E28" s="175">
        <v>860.0</v>
      </c>
      <c r="F28" s="177">
        <f t="shared" si="1"/>
        <v>2487</v>
      </c>
      <c r="H28" s="174">
        <v>43857.0</v>
      </c>
      <c r="M28">
        <f t="shared" si="2"/>
        <v>0</v>
      </c>
    </row>
    <row r="29" ht="13.5" customHeight="1">
      <c r="A29" s="174">
        <v>43858.0</v>
      </c>
      <c r="B29" s="175">
        <v>643.0</v>
      </c>
      <c r="C29" s="176"/>
      <c r="D29" s="175">
        <v>1247.0</v>
      </c>
      <c r="E29" s="176"/>
      <c r="F29" s="177">
        <f t="shared" si="1"/>
        <v>1890</v>
      </c>
      <c r="H29" s="174">
        <v>43858.0</v>
      </c>
      <c r="M29">
        <f t="shared" si="2"/>
        <v>0</v>
      </c>
    </row>
    <row r="30" ht="13.5" customHeight="1">
      <c r="A30" s="174">
        <v>43859.0</v>
      </c>
      <c r="B30" s="175">
        <v>690.0</v>
      </c>
      <c r="C30" s="176"/>
      <c r="D30" s="176"/>
      <c r="E30" s="175">
        <v>850.0</v>
      </c>
      <c r="F30" s="177">
        <f t="shared" si="1"/>
        <v>1540</v>
      </c>
      <c r="H30" s="174">
        <v>43859.0</v>
      </c>
      <c r="M30">
        <f t="shared" si="2"/>
        <v>0</v>
      </c>
    </row>
    <row r="31" ht="13.5" customHeight="1">
      <c r="A31" s="174">
        <v>43860.0</v>
      </c>
      <c r="B31" s="175">
        <f>400+555</f>
        <v>955</v>
      </c>
      <c r="C31" s="176"/>
      <c r="D31" s="176"/>
      <c r="E31" s="176"/>
      <c r="F31" s="177">
        <f t="shared" si="1"/>
        <v>955</v>
      </c>
      <c r="H31" s="174">
        <v>43860.0</v>
      </c>
      <c r="L31" s="171">
        <v>1650.0</v>
      </c>
      <c r="M31">
        <f t="shared" si="2"/>
        <v>1650</v>
      </c>
    </row>
    <row r="32" ht="13.5" customHeight="1">
      <c r="A32" s="174">
        <v>43861.0</v>
      </c>
      <c r="B32" s="175">
        <f>467+418</f>
        <v>885</v>
      </c>
      <c r="C32" s="175">
        <v>3950.0</v>
      </c>
      <c r="D32" s="176"/>
      <c r="E32" s="175">
        <f>5425+7500+1600</f>
        <v>14525</v>
      </c>
      <c r="F32" s="177">
        <f t="shared" si="1"/>
        <v>19360</v>
      </c>
      <c r="H32" s="174">
        <v>43861.0</v>
      </c>
      <c r="M32">
        <f t="shared" si="2"/>
        <v>0</v>
      </c>
    </row>
    <row r="33" ht="13.5" customHeight="1">
      <c r="A33" s="182" t="s">
        <v>399</v>
      </c>
      <c r="B33" s="177">
        <f t="shared" ref="B33:E33" si="3">SUM(B2:B32)</f>
        <v>43466</v>
      </c>
      <c r="C33" s="177">
        <f t="shared" si="3"/>
        <v>7310</v>
      </c>
      <c r="D33" s="177">
        <f t="shared" si="3"/>
        <v>2768</v>
      </c>
      <c r="E33" s="177">
        <f t="shared" si="3"/>
        <v>17357.5</v>
      </c>
      <c r="F33" s="177">
        <f t="shared" si="1"/>
        <v>70901.5</v>
      </c>
      <c r="H33" s="182" t="s">
        <v>399</v>
      </c>
      <c r="I33" s="184">
        <f t="shared" ref="I33:L33" si="4">sum(I2:I32)</f>
        <v>33310</v>
      </c>
      <c r="J33">
        <f t="shared" si="4"/>
        <v>1300</v>
      </c>
      <c r="K33">
        <f t="shared" si="4"/>
        <v>13557.5</v>
      </c>
      <c r="L33">
        <f t="shared" si="4"/>
        <v>3844.5</v>
      </c>
      <c r="M33" s="184">
        <f t="shared" si="2"/>
        <v>52012</v>
      </c>
    </row>
    <row r="34" ht="13.5" customHeight="1">
      <c r="I34" s="171" t="s">
        <v>400</v>
      </c>
      <c r="M34" s="171">
        <v>3519.0</v>
      </c>
    </row>
    <row r="35" ht="13.5" customHeight="1">
      <c r="I35" s="171" t="s">
        <v>401</v>
      </c>
      <c r="M35" s="171">
        <v>40000.0</v>
      </c>
    </row>
    <row r="36" ht="13.5" customHeight="1">
      <c r="I36" s="171" t="s">
        <v>402</v>
      </c>
      <c r="M36" s="184">
        <f>M33-M34-M35</f>
        <v>8493</v>
      </c>
    </row>
    <row r="37" ht="13.5" customHeight="1"/>
    <row r="38" ht="13.5" customHeight="1">
      <c r="I38" s="171" t="s">
        <v>403</v>
      </c>
      <c r="J38" s="171" t="s">
        <v>404</v>
      </c>
    </row>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c r="H1" s="172"/>
      <c r="I1" s="173" t="s">
        <v>63</v>
      </c>
      <c r="J1" s="173" t="s">
        <v>64</v>
      </c>
      <c r="K1" s="173" t="s">
        <v>24</v>
      </c>
      <c r="L1" s="173" t="s">
        <v>121</v>
      </c>
      <c r="M1" s="173" t="s">
        <v>10</v>
      </c>
    </row>
    <row r="2" ht="13.5" customHeight="1">
      <c r="A2" s="174">
        <v>43800.0</v>
      </c>
      <c r="B2" s="178">
        <f>0.5*(785+161+208+299+1404)</f>
        <v>1428.5</v>
      </c>
      <c r="C2" s="176"/>
      <c r="D2" s="186">
        <f>0.5*110+110</f>
        <v>165</v>
      </c>
      <c r="E2" s="175"/>
      <c r="F2" s="177">
        <f t="shared" ref="F2:F33" si="1">SUM(B2:E2)</f>
        <v>1593.5</v>
      </c>
      <c r="I2" s="178">
        <f>0.5*(785+161+208+299+1404)</f>
        <v>1428.5</v>
      </c>
      <c r="K2" s="178">
        <f>0.5*110</f>
        <v>55</v>
      </c>
      <c r="M2" s="184">
        <f t="shared" ref="M2:M33" si="2">sum(I2:L2)</f>
        <v>1483.5</v>
      </c>
    </row>
    <row r="3" ht="13.5" customHeight="1">
      <c r="A3" s="174">
        <v>43801.0</v>
      </c>
      <c r="B3" s="178">
        <f>0.5*(162+1158+1446)</f>
        <v>1383</v>
      </c>
      <c r="C3" s="175">
        <v>3800.0</v>
      </c>
      <c r="D3" s="176">
        <f>3267*2/3</f>
        <v>2178</v>
      </c>
      <c r="E3" s="175"/>
      <c r="F3" s="177">
        <f t="shared" si="1"/>
        <v>7361</v>
      </c>
      <c r="I3" s="178">
        <f>0.5*(162+1158+1446)</f>
        <v>1383</v>
      </c>
      <c r="K3">
        <f>3267/3</f>
        <v>1089</v>
      </c>
      <c r="L3" s="171">
        <v>1200.0</v>
      </c>
      <c r="M3" s="184">
        <f t="shared" si="2"/>
        <v>3672</v>
      </c>
    </row>
    <row r="4" ht="13.5" customHeight="1">
      <c r="A4" s="174">
        <v>43802.0</v>
      </c>
      <c r="B4" s="175">
        <f>527+505+138</f>
        <v>1170</v>
      </c>
      <c r="C4" s="176"/>
      <c r="D4" s="176"/>
      <c r="E4" s="176"/>
      <c r="F4" s="177">
        <f t="shared" si="1"/>
        <v>1170</v>
      </c>
      <c r="M4">
        <f t="shared" si="2"/>
        <v>0</v>
      </c>
    </row>
    <row r="5" ht="13.5" customHeight="1">
      <c r="A5" s="174">
        <v>43803.0</v>
      </c>
      <c r="B5" s="175">
        <v>446.0</v>
      </c>
      <c r="C5" s="176"/>
      <c r="D5" s="176"/>
      <c r="E5" s="176"/>
      <c r="F5" s="177">
        <f t="shared" si="1"/>
        <v>446</v>
      </c>
      <c r="M5">
        <f t="shared" si="2"/>
        <v>0</v>
      </c>
    </row>
    <row r="6" ht="13.5" customHeight="1">
      <c r="A6" s="174">
        <v>43804.0</v>
      </c>
      <c r="B6" s="175">
        <v>3013.0</v>
      </c>
      <c r="C6" s="176"/>
      <c r="D6" s="176"/>
      <c r="E6" s="176"/>
      <c r="F6" s="177">
        <f t="shared" si="1"/>
        <v>3013</v>
      </c>
      <c r="M6">
        <f t="shared" si="2"/>
        <v>0</v>
      </c>
    </row>
    <row r="7" ht="13.5" customHeight="1">
      <c r="A7" s="174">
        <v>43805.0</v>
      </c>
      <c r="B7" s="175"/>
      <c r="C7" s="176"/>
      <c r="D7" s="176"/>
      <c r="E7" s="176"/>
      <c r="F7" s="177">
        <f t="shared" si="1"/>
        <v>0</v>
      </c>
      <c r="M7">
        <f t="shared" si="2"/>
        <v>0</v>
      </c>
    </row>
    <row r="8" ht="13.5" customHeight="1">
      <c r="A8" s="174">
        <v>43806.0</v>
      </c>
      <c r="B8" s="176"/>
      <c r="C8" s="175"/>
      <c r="D8" s="175">
        <v>1870.0</v>
      </c>
      <c r="E8" s="176"/>
      <c r="F8" s="177">
        <f t="shared" si="1"/>
        <v>1870</v>
      </c>
      <c r="M8">
        <f t="shared" si="2"/>
        <v>0</v>
      </c>
    </row>
    <row r="9" ht="13.5" customHeight="1">
      <c r="A9" s="174">
        <v>43807.0</v>
      </c>
      <c r="B9" s="175">
        <f>168+1114</f>
        <v>1282</v>
      </c>
      <c r="C9" s="176"/>
      <c r="D9" s="176"/>
      <c r="E9" s="176"/>
      <c r="F9" s="177">
        <f t="shared" si="1"/>
        <v>1282</v>
      </c>
      <c r="M9">
        <f t="shared" si="2"/>
        <v>0</v>
      </c>
      <c r="O9" s="171" t="s">
        <v>405</v>
      </c>
    </row>
    <row r="10" ht="13.5" customHeight="1">
      <c r="A10" s="174">
        <v>43808.0</v>
      </c>
      <c r="B10" s="175">
        <v>412.0</v>
      </c>
      <c r="C10" s="176"/>
      <c r="D10" s="176"/>
      <c r="E10" s="176"/>
      <c r="F10" s="177">
        <f t="shared" si="1"/>
        <v>412</v>
      </c>
      <c r="M10">
        <f t="shared" si="2"/>
        <v>0</v>
      </c>
    </row>
    <row r="11" ht="13.5" customHeight="1">
      <c r="A11" s="174">
        <v>43809.0</v>
      </c>
      <c r="B11" s="175">
        <v>1780.0</v>
      </c>
      <c r="C11" s="175">
        <v>5500.0</v>
      </c>
      <c r="D11" s="175"/>
      <c r="E11" s="175"/>
      <c r="F11" s="177">
        <f t="shared" si="1"/>
        <v>7280</v>
      </c>
      <c r="M11">
        <f t="shared" si="2"/>
        <v>0</v>
      </c>
    </row>
    <row r="12" ht="13.5" customHeight="1">
      <c r="A12" s="174">
        <v>43810.0</v>
      </c>
      <c r="B12" s="175"/>
      <c r="C12" s="175"/>
      <c r="D12" s="176"/>
      <c r="E12" s="178">
        <f>0.5*2516</f>
        <v>1258</v>
      </c>
      <c r="F12" s="177">
        <f t="shared" si="1"/>
        <v>1258</v>
      </c>
      <c r="M12">
        <f t="shared" si="2"/>
        <v>0</v>
      </c>
      <c r="O12" s="171" t="s">
        <v>406</v>
      </c>
      <c r="P12" s="175">
        <f>0.5*2516</f>
        <v>1258</v>
      </c>
    </row>
    <row r="13" ht="13.5" customHeight="1">
      <c r="A13" s="174">
        <v>43811.0</v>
      </c>
      <c r="B13" s="175">
        <v>313.0</v>
      </c>
      <c r="C13" s="176"/>
      <c r="D13" s="176"/>
      <c r="E13" s="176"/>
      <c r="F13" s="177">
        <f t="shared" si="1"/>
        <v>313</v>
      </c>
      <c r="M13">
        <f t="shared" si="2"/>
        <v>0</v>
      </c>
    </row>
    <row r="14" ht="13.5" customHeight="1">
      <c r="A14" s="174">
        <v>43812.0</v>
      </c>
      <c r="B14" s="175">
        <v>412.0</v>
      </c>
      <c r="C14" s="176"/>
      <c r="D14" s="176"/>
      <c r="E14" s="176"/>
      <c r="F14" s="177">
        <f t="shared" si="1"/>
        <v>412</v>
      </c>
      <c r="M14">
        <f t="shared" si="2"/>
        <v>0</v>
      </c>
    </row>
    <row r="15" ht="13.5" customHeight="1">
      <c r="A15" s="174">
        <v>43813.0</v>
      </c>
      <c r="B15" s="175">
        <v>4106.0</v>
      </c>
      <c r="C15" s="176"/>
      <c r="D15" s="176"/>
      <c r="E15" s="175">
        <v>1800.0</v>
      </c>
      <c r="F15" s="177">
        <f t="shared" si="1"/>
        <v>5906</v>
      </c>
      <c r="M15">
        <f t="shared" si="2"/>
        <v>0</v>
      </c>
    </row>
    <row r="16" ht="13.5" customHeight="1">
      <c r="A16" s="174">
        <v>43814.0</v>
      </c>
      <c r="B16" s="175">
        <f>1400+850+918</f>
        <v>3168</v>
      </c>
      <c r="C16" s="175">
        <v>2000.0</v>
      </c>
      <c r="D16" s="176"/>
      <c r="E16" s="175">
        <v>800.0</v>
      </c>
      <c r="F16" s="177">
        <f t="shared" si="1"/>
        <v>5968</v>
      </c>
      <c r="M16">
        <f t="shared" si="2"/>
        <v>0</v>
      </c>
    </row>
    <row r="17" ht="13.5" customHeight="1">
      <c r="A17" s="174">
        <v>43815.0</v>
      </c>
      <c r="B17" s="175">
        <f>902+376</f>
        <v>1278</v>
      </c>
      <c r="C17" s="175">
        <v>600.0</v>
      </c>
      <c r="D17" s="175">
        <f>440+712+1089</f>
        <v>2241</v>
      </c>
      <c r="E17" s="176"/>
      <c r="F17" s="177">
        <f t="shared" si="1"/>
        <v>4119</v>
      </c>
      <c r="M17">
        <f t="shared" si="2"/>
        <v>0</v>
      </c>
    </row>
    <row r="18" ht="13.5" customHeight="1">
      <c r="A18" s="174">
        <v>43816.0</v>
      </c>
      <c r="B18" s="175">
        <v>137.0</v>
      </c>
      <c r="C18" s="176"/>
      <c r="D18" s="176"/>
      <c r="E18" s="176"/>
      <c r="F18" s="177">
        <f t="shared" si="1"/>
        <v>137</v>
      </c>
      <c r="M18">
        <f t="shared" si="2"/>
        <v>0</v>
      </c>
    </row>
    <row r="19" ht="13.5" customHeight="1">
      <c r="A19" s="174">
        <v>43817.0</v>
      </c>
      <c r="B19" s="175">
        <f>350+3697</f>
        <v>4047</v>
      </c>
      <c r="C19" s="176"/>
      <c r="D19" s="176"/>
      <c r="E19" s="175"/>
      <c r="F19" s="177">
        <f t="shared" si="1"/>
        <v>4047</v>
      </c>
      <c r="M19">
        <f t="shared" si="2"/>
        <v>0</v>
      </c>
    </row>
    <row r="20" ht="13.5" customHeight="1">
      <c r="A20" s="174">
        <v>43818.0</v>
      </c>
      <c r="B20" s="175">
        <v>511.0</v>
      </c>
      <c r="C20" s="176"/>
      <c r="D20" s="175">
        <v>8789.0</v>
      </c>
      <c r="E20" s="175"/>
      <c r="F20" s="177">
        <f t="shared" si="1"/>
        <v>9300</v>
      </c>
      <c r="M20">
        <f t="shared" si="2"/>
        <v>0</v>
      </c>
    </row>
    <row r="21" ht="13.5" customHeight="1">
      <c r="A21" s="174">
        <v>43819.0</v>
      </c>
      <c r="B21" s="175">
        <v>502.0</v>
      </c>
      <c r="C21" s="176"/>
      <c r="D21" s="175">
        <v>9626.0</v>
      </c>
      <c r="E21" s="175">
        <v>217.0</v>
      </c>
      <c r="F21" s="177">
        <f t="shared" si="1"/>
        <v>10345</v>
      </c>
      <c r="M21">
        <f t="shared" si="2"/>
        <v>0</v>
      </c>
    </row>
    <row r="22" ht="13.5" customHeight="1">
      <c r="A22" s="174">
        <v>43820.0</v>
      </c>
      <c r="B22" s="175">
        <v>822.0</v>
      </c>
      <c r="C22" s="175">
        <v>600.0</v>
      </c>
      <c r="D22" s="176"/>
      <c r="E22" s="176"/>
      <c r="F22" s="177">
        <f t="shared" si="1"/>
        <v>1422</v>
      </c>
      <c r="M22">
        <f t="shared" si="2"/>
        <v>0</v>
      </c>
    </row>
    <row r="23" ht="13.5" customHeight="1">
      <c r="A23" s="174">
        <v>43821.0</v>
      </c>
      <c r="B23" s="175"/>
      <c r="C23" s="176"/>
      <c r="D23" s="176"/>
      <c r="E23" s="176"/>
      <c r="F23" s="177">
        <f t="shared" si="1"/>
        <v>0</v>
      </c>
      <c r="M23">
        <f t="shared" si="2"/>
        <v>0</v>
      </c>
    </row>
    <row r="24" ht="13.5" customHeight="1">
      <c r="A24" s="174">
        <v>43822.0</v>
      </c>
      <c r="B24" s="175">
        <v>1500.0</v>
      </c>
      <c r="C24" s="176"/>
      <c r="D24" s="175">
        <v>808.0</v>
      </c>
      <c r="E24" s="176"/>
      <c r="F24" s="177">
        <f t="shared" si="1"/>
        <v>2308</v>
      </c>
      <c r="M24">
        <f t="shared" si="2"/>
        <v>0</v>
      </c>
    </row>
    <row r="25" ht="13.5" customHeight="1">
      <c r="A25" s="174">
        <v>43823.0</v>
      </c>
      <c r="B25" s="179">
        <f>0.5*(1587+216)</f>
        <v>901.5</v>
      </c>
      <c r="C25" s="176"/>
      <c r="D25" s="178">
        <f>0.5*(330)</f>
        <v>165</v>
      </c>
      <c r="E25" s="178">
        <f>0.5*(1600)</f>
        <v>800</v>
      </c>
      <c r="F25" s="177">
        <f t="shared" si="1"/>
        <v>1866.5</v>
      </c>
      <c r="I25" s="179">
        <f>0.5*(1587+216)</f>
        <v>901.5</v>
      </c>
      <c r="K25" s="178">
        <f>0.5*(330)</f>
        <v>165</v>
      </c>
      <c r="L25" s="178">
        <f>0.5*(1600)</f>
        <v>800</v>
      </c>
      <c r="M25" s="184">
        <f t="shared" si="2"/>
        <v>1866.5</v>
      </c>
    </row>
    <row r="26" ht="13.5" customHeight="1">
      <c r="A26" s="174">
        <v>43824.0</v>
      </c>
      <c r="B26" s="179">
        <f>0.5*(1654+270)</f>
        <v>962</v>
      </c>
      <c r="C26" s="176"/>
      <c r="D26" s="176"/>
      <c r="E26" s="176"/>
      <c r="F26" s="177">
        <f t="shared" si="1"/>
        <v>962</v>
      </c>
      <c r="I26" s="179">
        <f>0.5*(1654+270)</f>
        <v>962</v>
      </c>
      <c r="K26" s="176"/>
      <c r="L26" s="176"/>
      <c r="M26" s="184">
        <f t="shared" si="2"/>
        <v>962</v>
      </c>
    </row>
    <row r="27" ht="13.5" customHeight="1">
      <c r="A27" s="174">
        <v>43825.0</v>
      </c>
      <c r="B27" s="179">
        <f>0.5*(367+180+2388+200+2050+150)</f>
        <v>2667.5</v>
      </c>
      <c r="C27" s="176">
        <f>2000</f>
        <v>2000</v>
      </c>
      <c r="D27" s="176"/>
      <c r="E27" s="178">
        <f>0.5*(27000+1840)</f>
        <v>14420</v>
      </c>
      <c r="F27" s="177">
        <f t="shared" si="1"/>
        <v>19087.5</v>
      </c>
      <c r="I27" s="179">
        <f>0.5*(367+180+2388+200+2050+150)</f>
        <v>2667.5</v>
      </c>
      <c r="J27" s="171">
        <v>5000.0</v>
      </c>
      <c r="K27" s="176"/>
      <c r="L27" s="178">
        <f>0.5*(27000+1840)</f>
        <v>14420</v>
      </c>
      <c r="M27" s="184">
        <f t="shared" si="2"/>
        <v>22087.5</v>
      </c>
    </row>
    <row r="28" ht="13.5" customHeight="1">
      <c r="A28" s="174">
        <v>43826.0</v>
      </c>
      <c r="B28" s="179">
        <f>0.5*(613+845+108+1830)</f>
        <v>1698</v>
      </c>
      <c r="C28" s="176"/>
      <c r="D28" s="176"/>
      <c r="E28" s="176"/>
      <c r="F28" s="177">
        <f t="shared" si="1"/>
        <v>1698</v>
      </c>
      <c r="I28" s="179">
        <f>0.5*(613+845+108+1830)</f>
        <v>1698</v>
      </c>
      <c r="K28" s="176"/>
      <c r="L28" s="176"/>
      <c r="M28" s="184">
        <f t="shared" si="2"/>
        <v>1698</v>
      </c>
    </row>
    <row r="29" ht="13.5" customHeight="1">
      <c r="A29" s="174">
        <v>43827.0</v>
      </c>
      <c r="B29" s="179">
        <f>0.5*(164+708+1830)</f>
        <v>1351</v>
      </c>
      <c r="C29" s="176"/>
      <c r="D29" s="176"/>
      <c r="E29" s="176"/>
      <c r="F29" s="177">
        <f t="shared" si="1"/>
        <v>1351</v>
      </c>
      <c r="I29" s="179">
        <f>0.5*(164+708+1830)</f>
        <v>1351</v>
      </c>
      <c r="K29" s="176"/>
      <c r="L29" s="176"/>
      <c r="M29" s="184">
        <f t="shared" si="2"/>
        <v>1351</v>
      </c>
    </row>
    <row r="30" ht="13.5" customHeight="1">
      <c r="A30" s="174">
        <v>43828.0</v>
      </c>
      <c r="B30" s="178">
        <f>0.5*(1738+354+875+242+2174)</f>
        <v>2691.5</v>
      </c>
      <c r="C30" s="175">
        <v>2000.0</v>
      </c>
      <c r="D30" s="186">
        <f>8789+407*0.5</f>
        <v>8992.5</v>
      </c>
      <c r="E30" s="178">
        <f>0.5*(544)</f>
        <v>272</v>
      </c>
      <c r="F30" s="177">
        <f t="shared" si="1"/>
        <v>13956</v>
      </c>
      <c r="I30" s="178">
        <f>0.5*(1738+354+875+242+2174)</f>
        <v>2691.5</v>
      </c>
      <c r="K30" s="186">
        <f>407*0.5</f>
        <v>203.5</v>
      </c>
      <c r="L30" s="178">
        <f>0.5*(544)</f>
        <v>272</v>
      </c>
      <c r="M30" s="184">
        <f t="shared" si="2"/>
        <v>3167</v>
      </c>
    </row>
    <row r="31" ht="13.5" customHeight="1">
      <c r="A31" s="174">
        <v>43829.0</v>
      </c>
      <c r="B31" s="178">
        <f>0.5*(1620+108)</f>
        <v>864</v>
      </c>
      <c r="C31" s="176"/>
      <c r="D31" s="176"/>
      <c r="E31" s="176"/>
      <c r="F31" s="177">
        <f t="shared" si="1"/>
        <v>864</v>
      </c>
      <c r="I31" s="178">
        <f>0.5*(1620+108)</f>
        <v>864</v>
      </c>
      <c r="M31" s="184">
        <f t="shared" si="2"/>
        <v>864</v>
      </c>
    </row>
    <row r="32" ht="13.5" customHeight="1">
      <c r="A32" s="174">
        <v>43830.0</v>
      </c>
      <c r="B32" s="175">
        <f>367+1201+540</f>
        <v>2108</v>
      </c>
      <c r="C32" s="176"/>
      <c r="D32" s="176"/>
      <c r="E32" s="175">
        <v>6030.0</v>
      </c>
      <c r="F32" s="177">
        <f t="shared" si="1"/>
        <v>8138</v>
      </c>
      <c r="M32">
        <f t="shared" si="2"/>
        <v>0</v>
      </c>
      <c r="O32" s="171" t="s">
        <v>407</v>
      </c>
      <c r="P32">
        <f>2816+408+367-367+638+2000+351</f>
        <v>6213</v>
      </c>
    </row>
    <row r="33" ht="13.5" customHeight="1">
      <c r="A33" s="182" t="s">
        <v>399</v>
      </c>
      <c r="B33" s="177">
        <f t="shared" ref="B33:E33" si="3">SUM(B2:B32)</f>
        <v>40954</v>
      </c>
      <c r="C33" s="177">
        <f t="shared" si="3"/>
        <v>16500</v>
      </c>
      <c r="D33" s="177">
        <f t="shared" si="3"/>
        <v>34834.5</v>
      </c>
      <c r="E33" s="177">
        <f t="shared" si="3"/>
        <v>25597</v>
      </c>
      <c r="F33" s="177">
        <f t="shared" si="1"/>
        <v>117885.5</v>
      </c>
      <c r="I33" s="184">
        <f t="shared" ref="I33:L33" si="4">sum(I2:I32)</f>
        <v>13947</v>
      </c>
      <c r="J33">
        <f t="shared" si="4"/>
        <v>5000</v>
      </c>
      <c r="K33" s="184">
        <f t="shared" si="4"/>
        <v>1512.5</v>
      </c>
      <c r="L33">
        <f t="shared" si="4"/>
        <v>16692</v>
      </c>
      <c r="M33" s="184">
        <f t="shared" si="2"/>
        <v>37151.5</v>
      </c>
    </row>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c r="G1" s="173" t="s">
        <v>408</v>
      </c>
      <c r="I1" s="173" t="s">
        <v>63</v>
      </c>
      <c r="J1" s="173" t="s">
        <v>64</v>
      </c>
      <c r="K1" s="173" t="s">
        <v>24</v>
      </c>
      <c r="L1" s="173" t="s">
        <v>121</v>
      </c>
      <c r="M1" s="173" t="s">
        <v>10</v>
      </c>
    </row>
    <row r="2" ht="13.5" customHeight="1">
      <c r="A2" s="174">
        <v>43770.0</v>
      </c>
      <c r="B2" s="175">
        <v>151.0</v>
      </c>
      <c r="C2" s="175">
        <f>624+503</f>
        <v>1127</v>
      </c>
      <c r="D2" s="176"/>
      <c r="E2" s="189">
        <f>0.5*2192</f>
        <v>1096</v>
      </c>
      <c r="F2" s="177">
        <f t="shared" ref="F2:F32" si="1">SUM(B2:E2)</f>
        <v>2374</v>
      </c>
      <c r="G2" s="190">
        <f>'201910'!G32+2000-sum(B2:C2,E2)</f>
        <v>102733</v>
      </c>
      <c r="K2" s="171">
        <f>2116</f>
        <v>2116</v>
      </c>
      <c r="L2" s="189">
        <f>0.5*2192</f>
        <v>1096</v>
      </c>
      <c r="M2" s="177">
        <f t="shared" ref="M2:M32" si="2">SUM(I2:L2)</f>
        <v>3212</v>
      </c>
    </row>
    <row r="3" ht="13.5" customHeight="1">
      <c r="A3" s="174">
        <v>43771.0</v>
      </c>
      <c r="B3" s="175"/>
      <c r="C3" s="175">
        <v>302.0</v>
      </c>
      <c r="D3" s="176"/>
      <c r="E3" s="175"/>
      <c r="F3" s="177">
        <f t="shared" si="1"/>
        <v>302</v>
      </c>
      <c r="G3" s="190">
        <f t="shared" ref="G3:G31" si="3">G2+2000-sum(B3:C3,E3)</f>
        <v>104431</v>
      </c>
      <c r="M3" s="177">
        <f t="shared" si="2"/>
        <v>0</v>
      </c>
    </row>
    <row r="4" ht="13.5" customHeight="1">
      <c r="A4" s="174">
        <v>43772.0</v>
      </c>
      <c r="B4" s="175">
        <f>503+402</f>
        <v>905</v>
      </c>
      <c r="C4" s="176"/>
      <c r="D4" s="176"/>
      <c r="E4" s="176">
        <f>705+503+1325+237</f>
        <v>2770</v>
      </c>
      <c r="F4" s="177">
        <f t="shared" si="1"/>
        <v>3675</v>
      </c>
      <c r="G4" s="190">
        <f t="shared" si="3"/>
        <v>102756</v>
      </c>
      <c r="M4" s="177">
        <f t="shared" si="2"/>
        <v>0</v>
      </c>
    </row>
    <row r="5" ht="13.5" customHeight="1">
      <c r="A5" s="174">
        <v>43773.0</v>
      </c>
      <c r="B5" s="175">
        <v>307.0</v>
      </c>
      <c r="C5" s="176"/>
      <c r="D5" s="176"/>
      <c r="E5" s="175">
        <v>300.0</v>
      </c>
      <c r="F5" s="177">
        <f t="shared" si="1"/>
        <v>607</v>
      </c>
      <c r="G5" s="190">
        <f t="shared" si="3"/>
        <v>104149</v>
      </c>
      <c r="M5" s="177">
        <f t="shared" si="2"/>
        <v>0</v>
      </c>
    </row>
    <row r="6" ht="13.5" customHeight="1">
      <c r="A6" s="174">
        <v>43774.0</v>
      </c>
      <c r="B6" s="175">
        <v>3895.0</v>
      </c>
      <c r="C6" s="176"/>
      <c r="D6" s="176"/>
      <c r="E6" s="176"/>
      <c r="F6" s="177">
        <f t="shared" si="1"/>
        <v>3895</v>
      </c>
      <c r="G6" s="190">
        <f t="shared" si="3"/>
        <v>102254</v>
      </c>
      <c r="M6" s="177">
        <f t="shared" si="2"/>
        <v>0</v>
      </c>
    </row>
    <row r="7" ht="13.5" customHeight="1">
      <c r="A7" s="174">
        <v>43775.0</v>
      </c>
      <c r="B7" s="175"/>
      <c r="C7" s="176"/>
      <c r="D7" s="176"/>
      <c r="E7" s="176"/>
      <c r="F7" s="177">
        <f t="shared" si="1"/>
        <v>0</v>
      </c>
      <c r="G7" s="190">
        <f t="shared" si="3"/>
        <v>104254</v>
      </c>
      <c r="M7" s="177">
        <f t="shared" si="2"/>
        <v>0</v>
      </c>
    </row>
    <row r="8" ht="13.5" customHeight="1">
      <c r="A8" s="174">
        <v>43776.0</v>
      </c>
      <c r="B8" s="175">
        <f>2318+1674</f>
        <v>3992</v>
      </c>
      <c r="C8" s="175"/>
      <c r="D8" s="175">
        <v>603.0</v>
      </c>
      <c r="E8" s="176"/>
      <c r="F8" s="177">
        <f t="shared" si="1"/>
        <v>4595</v>
      </c>
      <c r="G8" s="190">
        <f t="shared" si="3"/>
        <v>102262</v>
      </c>
      <c r="M8" s="177">
        <f t="shared" si="2"/>
        <v>0</v>
      </c>
    </row>
    <row r="9" ht="13.5" customHeight="1">
      <c r="A9" s="174">
        <v>43777.0</v>
      </c>
      <c r="B9" s="175">
        <v>129.0</v>
      </c>
      <c r="C9" s="176"/>
      <c r="D9" s="176"/>
      <c r="E9" s="176"/>
      <c r="F9" s="177">
        <f t="shared" si="1"/>
        <v>129</v>
      </c>
      <c r="G9" s="190">
        <f t="shared" si="3"/>
        <v>104133</v>
      </c>
      <c r="M9" s="177">
        <f t="shared" si="2"/>
        <v>0</v>
      </c>
    </row>
    <row r="10" ht="13.5" customHeight="1">
      <c r="A10" s="174">
        <v>43778.0</v>
      </c>
      <c r="B10" s="175">
        <v>2526.0</v>
      </c>
      <c r="C10" s="176"/>
      <c r="D10" s="176"/>
      <c r="E10" s="176"/>
      <c r="F10" s="177">
        <f t="shared" si="1"/>
        <v>2526</v>
      </c>
      <c r="G10" s="190">
        <f t="shared" si="3"/>
        <v>103607</v>
      </c>
      <c r="M10" s="177">
        <f t="shared" si="2"/>
        <v>0</v>
      </c>
    </row>
    <row r="11" ht="13.5" customHeight="1">
      <c r="A11" s="174">
        <v>43779.0</v>
      </c>
      <c r="B11" s="175">
        <v>147.0</v>
      </c>
      <c r="C11" s="176"/>
      <c r="D11" s="175"/>
      <c r="E11" s="175"/>
      <c r="F11" s="177">
        <f t="shared" si="1"/>
        <v>147</v>
      </c>
      <c r="G11" s="190">
        <f t="shared" si="3"/>
        <v>105460</v>
      </c>
      <c r="M11" s="177">
        <f t="shared" si="2"/>
        <v>0</v>
      </c>
    </row>
    <row r="12" ht="13.5" customHeight="1">
      <c r="A12" s="174">
        <v>43780.0</v>
      </c>
      <c r="B12" s="175">
        <v>204.0</v>
      </c>
      <c r="C12" s="175"/>
      <c r="D12" s="176"/>
      <c r="E12" s="179">
        <f>0.5*1950</f>
        <v>975</v>
      </c>
      <c r="F12" s="177">
        <f t="shared" si="1"/>
        <v>1179</v>
      </c>
      <c r="G12" s="190">
        <f t="shared" si="3"/>
        <v>106281</v>
      </c>
      <c r="K12" s="191">
        <f>0.5*1960+1309+2461</f>
        <v>4750</v>
      </c>
      <c r="L12" s="179">
        <f>0.5*1950</f>
        <v>975</v>
      </c>
      <c r="M12" s="177">
        <f t="shared" si="2"/>
        <v>5725</v>
      </c>
    </row>
    <row r="13" ht="13.5" customHeight="1">
      <c r="A13" s="174">
        <v>43781.0</v>
      </c>
      <c r="B13" s="175">
        <v>2241.0</v>
      </c>
      <c r="C13" s="176"/>
      <c r="D13" s="176"/>
      <c r="E13" s="176"/>
      <c r="F13" s="177">
        <f t="shared" si="1"/>
        <v>2241</v>
      </c>
      <c r="G13" s="190">
        <f t="shared" si="3"/>
        <v>106040</v>
      </c>
      <c r="M13" s="177">
        <f t="shared" si="2"/>
        <v>0</v>
      </c>
    </row>
    <row r="14" ht="13.5" customHeight="1">
      <c r="A14" s="174">
        <v>43782.0</v>
      </c>
      <c r="B14" s="175">
        <v>610.0</v>
      </c>
      <c r="C14" s="176"/>
      <c r="D14" s="176"/>
      <c r="E14" s="176"/>
      <c r="F14" s="177">
        <f t="shared" si="1"/>
        <v>610</v>
      </c>
      <c r="G14" s="190">
        <f t="shared" si="3"/>
        <v>107430</v>
      </c>
      <c r="M14" s="177">
        <f t="shared" si="2"/>
        <v>0</v>
      </c>
    </row>
    <row r="15" ht="13.5" customHeight="1">
      <c r="A15" s="174">
        <v>43783.0</v>
      </c>
      <c r="B15" s="175">
        <v>583.0</v>
      </c>
      <c r="C15" s="176"/>
      <c r="D15" s="176"/>
      <c r="E15" s="176"/>
      <c r="F15" s="177">
        <f t="shared" si="1"/>
        <v>583</v>
      </c>
      <c r="G15" s="190">
        <f t="shared" si="3"/>
        <v>108847</v>
      </c>
      <c r="M15" s="177">
        <f t="shared" si="2"/>
        <v>0</v>
      </c>
    </row>
    <row r="16" ht="13.5" customHeight="1">
      <c r="A16" s="174">
        <v>43784.0</v>
      </c>
      <c r="B16" s="175"/>
      <c r="C16" s="176"/>
      <c r="D16" s="176"/>
      <c r="E16" s="176"/>
      <c r="F16" s="177">
        <f t="shared" si="1"/>
        <v>0</v>
      </c>
      <c r="G16" s="190">
        <f t="shared" si="3"/>
        <v>110847</v>
      </c>
      <c r="M16" s="177">
        <f t="shared" si="2"/>
        <v>0</v>
      </c>
    </row>
    <row r="17" ht="13.5" customHeight="1">
      <c r="A17" s="174">
        <v>43785.0</v>
      </c>
      <c r="B17" s="175">
        <v>2915.0</v>
      </c>
      <c r="C17" s="176"/>
      <c r="D17" s="175">
        <f>0.5*999+286</f>
        <v>785.5</v>
      </c>
      <c r="E17" s="176"/>
      <c r="F17" s="177">
        <f t="shared" si="1"/>
        <v>3700.5</v>
      </c>
      <c r="G17" s="190">
        <f t="shared" si="3"/>
        <v>109932</v>
      </c>
      <c r="K17" s="189">
        <f>0.5*999</f>
        <v>499.5</v>
      </c>
      <c r="M17" s="177">
        <f t="shared" si="2"/>
        <v>499.5</v>
      </c>
    </row>
    <row r="18" ht="13.5" customHeight="1">
      <c r="A18" s="174">
        <v>43786.0</v>
      </c>
      <c r="B18" s="175">
        <f>208+1506</f>
        <v>1714</v>
      </c>
      <c r="C18" s="176"/>
      <c r="D18" s="175">
        <v>837.0</v>
      </c>
      <c r="E18" s="175">
        <v>200.0</v>
      </c>
      <c r="F18" s="177">
        <f t="shared" si="1"/>
        <v>2751</v>
      </c>
      <c r="G18" s="190">
        <f t="shared" si="3"/>
        <v>110018</v>
      </c>
      <c r="M18" s="177">
        <f t="shared" si="2"/>
        <v>0</v>
      </c>
    </row>
    <row r="19" ht="13.5" customHeight="1">
      <c r="A19" s="174">
        <v>43787.0</v>
      </c>
      <c r="B19" s="175"/>
      <c r="C19" s="176"/>
      <c r="D19" s="175">
        <v>330.0</v>
      </c>
      <c r="E19" s="175"/>
      <c r="F19" s="177">
        <f t="shared" si="1"/>
        <v>330</v>
      </c>
      <c r="G19" s="190">
        <f t="shared" si="3"/>
        <v>112018</v>
      </c>
      <c r="K19" s="171">
        <v>3500.0</v>
      </c>
      <c r="M19" s="177">
        <f t="shared" si="2"/>
        <v>3500</v>
      </c>
    </row>
    <row r="20" ht="13.5" customHeight="1">
      <c r="A20" s="174">
        <v>43788.0</v>
      </c>
      <c r="B20" s="175"/>
      <c r="C20" s="176"/>
      <c r="D20" s="175"/>
      <c r="E20" s="175"/>
      <c r="F20" s="177">
        <f t="shared" si="1"/>
        <v>0</v>
      </c>
      <c r="G20" s="190">
        <f t="shared" si="3"/>
        <v>114018</v>
      </c>
      <c r="M20" s="177">
        <f t="shared" si="2"/>
        <v>0</v>
      </c>
    </row>
    <row r="21" ht="13.5" customHeight="1">
      <c r="A21" s="174">
        <v>43789.0</v>
      </c>
      <c r="B21" s="175">
        <f>690+455+147</f>
        <v>1292</v>
      </c>
      <c r="C21" s="176"/>
      <c r="D21" s="176"/>
      <c r="E21" s="178">
        <f>0.5*(943)</f>
        <v>471.5</v>
      </c>
      <c r="F21" s="177">
        <f t="shared" si="1"/>
        <v>1763.5</v>
      </c>
      <c r="G21" s="190">
        <f t="shared" si="3"/>
        <v>114254.5</v>
      </c>
      <c r="I21" s="175"/>
      <c r="J21" s="176"/>
      <c r="K21" s="176"/>
      <c r="L21" s="178">
        <f>0.5*(943)</f>
        <v>471.5</v>
      </c>
      <c r="M21" s="177">
        <f t="shared" si="2"/>
        <v>471.5</v>
      </c>
    </row>
    <row r="22" ht="13.5" customHeight="1">
      <c r="A22" s="174">
        <v>43790.0</v>
      </c>
      <c r="B22" s="181">
        <f>0.5*(149+513+212)+510</f>
        <v>947</v>
      </c>
      <c r="C22" s="176"/>
      <c r="D22" s="176"/>
      <c r="E22" s="176"/>
      <c r="F22" s="177">
        <f t="shared" si="1"/>
        <v>947</v>
      </c>
      <c r="G22" s="190">
        <f t="shared" si="3"/>
        <v>115307.5</v>
      </c>
      <c r="I22" s="179">
        <f>0.5*(149+513+212)</f>
        <v>437</v>
      </c>
      <c r="J22" s="176"/>
      <c r="K22" s="176"/>
      <c r="L22" s="176"/>
      <c r="M22" s="177">
        <f t="shared" si="2"/>
        <v>437</v>
      </c>
    </row>
    <row r="23" ht="13.5" customHeight="1">
      <c r="A23" s="174">
        <v>43791.0</v>
      </c>
      <c r="B23" s="178">
        <f>0.5*(711+864+1339)</f>
        <v>1457</v>
      </c>
      <c r="C23" s="176"/>
      <c r="D23" s="176"/>
      <c r="E23" s="176"/>
      <c r="F23" s="177">
        <f t="shared" si="1"/>
        <v>1457</v>
      </c>
      <c r="G23" s="190">
        <f t="shared" si="3"/>
        <v>115850.5</v>
      </c>
      <c r="I23" s="178">
        <f>0.5*(711+864+1339)</f>
        <v>1457</v>
      </c>
      <c r="J23" s="176"/>
      <c r="K23" s="176"/>
      <c r="L23" s="176"/>
      <c r="M23" s="177">
        <f t="shared" si="2"/>
        <v>1457</v>
      </c>
    </row>
    <row r="24" ht="13.5" customHeight="1">
      <c r="A24" s="174">
        <v>43792.0</v>
      </c>
      <c r="B24" s="186">
        <f>1200+0.5*(5189)</f>
        <v>3794.5</v>
      </c>
      <c r="C24" s="192">
        <v>2000.0</v>
      </c>
      <c r="D24" s="176"/>
      <c r="E24" s="176"/>
      <c r="F24" s="177">
        <f t="shared" si="1"/>
        <v>5794.5</v>
      </c>
      <c r="G24" s="190">
        <f t="shared" si="3"/>
        <v>112056</v>
      </c>
      <c r="I24" s="178">
        <f>0.5*(5189)</f>
        <v>2594.5</v>
      </c>
      <c r="J24" s="171">
        <v>1000.0</v>
      </c>
      <c r="K24" s="176"/>
      <c r="L24" s="176"/>
      <c r="M24" s="177">
        <f t="shared" si="2"/>
        <v>3594.5</v>
      </c>
    </row>
    <row r="25" ht="13.5" customHeight="1">
      <c r="A25" s="174">
        <v>43793.0</v>
      </c>
      <c r="B25" s="179">
        <f>0.5*(366+398+766+794+500)</f>
        <v>1412</v>
      </c>
      <c r="C25" s="176"/>
      <c r="D25" s="176"/>
      <c r="E25" s="176"/>
      <c r="F25" s="177">
        <f t="shared" si="1"/>
        <v>1412</v>
      </c>
      <c r="G25" s="190">
        <f t="shared" si="3"/>
        <v>112644</v>
      </c>
      <c r="I25" s="179">
        <f>0.5*(366+398+766+794+500)</f>
        <v>1412</v>
      </c>
      <c r="J25" s="176"/>
      <c r="K25" s="176"/>
      <c r="L25" s="176"/>
      <c r="M25" s="177">
        <f t="shared" si="2"/>
        <v>1412</v>
      </c>
    </row>
    <row r="26" ht="13.5" customHeight="1">
      <c r="A26" s="174">
        <v>43794.0</v>
      </c>
      <c r="B26" s="179">
        <f>0.5*(234+1134+2210)</f>
        <v>1789</v>
      </c>
      <c r="C26" s="176"/>
      <c r="D26" s="176"/>
      <c r="E26" s="176"/>
      <c r="F26" s="177">
        <f t="shared" si="1"/>
        <v>1789</v>
      </c>
      <c r="G26" s="190">
        <f t="shared" si="3"/>
        <v>112855</v>
      </c>
      <c r="I26" s="179">
        <f>0.5*(234+1134+2210)</f>
        <v>1789</v>
      </c>
      <c r="J26" s="176"/>
      <c r="K26" s="176"/>
      <c r="L26" s="176"/>
      <c r="M26" s="177">
        <f t="shared" si="2"/>
        <v>1789</v>
      </c>
    </row>
    <row r="27" ht="13.5" customHeight="1">
      <c r="A27" s="174">
        <v>43795.0</v>
      </c>
      <c r="B27" s="179">
        <f>0.5*(1212)</f>
        <v>606</v>
      </c>
      <c r="C27" s="176"/>
      <c r="D27" s="176"/>
      <c r="E27" s="176"/>
      <c r="F27" s="177">
        <f t="shared" si="1"/>
        <v>606</v>
      </c>
      <c r="G27" s="190">
        <f t="shared" si="3"/>
        <v>114249</v>
      </c>
      <c r="I27" s="179">
        <f>0.5*(1212)</f>
        <v>606</v>
      </c>
      <c r="J27" s="176"/>
      <c r="K27" s="176"/>
      <c r="L27" s="176"/>
      <c r="M27" s="177">
        <f t="shared" si="2"/>
        <v>606</v>
      </c>
    </row>
    <row r="28" ht="13.5" customHeight="1">
      <c r="A28" s="174">
        <v>43796.0</v>
      </c>
      <c r="B28" s="179">
        <f>0.5*(505+317+1652+106+673+363+226)</f>
        <v>1921</v>
      </c>
      <c r="C28" s="176"/>
      <c r="D28" s="176"/>
      <c r="E28" s="176"/>
      <c r="F28" s="177">
        <f t="shared" si="1"/>
        <v>1921</v>
      </c>
      <c r="G28" s="190">
        <f t="shared" si="3"/>
        <v>114328</v>
      </c>
      <c r="I28" s="179">
        <f>0.5*(505+317+1652+106+673+363+226)</f>
        <v>1921</v>
      </c>
      <c r="J28" s="176"/>
      <c r="K28" s="176"/>
      <c r="L28" s="176"/>
      <c r="M28" s="177">
        <f t="shared" si="2"/>
        <v>1921</v>
      </c>
    </row>
    <row r="29" ht="13.5" customHeight="1">
      <c r="A29" s="174">
        <v>43797.0</v>
      </c>
      <c r="B29" s="179">
        <f>0.5*(440+944+149+1830)</f>
        <v>1681.5</v>
      </c>
      <c r="C29" s="176"/>
      <c r="D29" s="176"/>
      <c r="E29" s="176"/>
      <c r="F29" s="177">
        <f t="shared" si="1"/>
        <v>1681.5</v>
      </c>
      <c r="G29" s="190">
        <f t="shared" si="3"/>
        <v>114646.5</v>
      </c>
      <c r="I29" s="179">
        <f>0.5*(440+944+149+1830)</f>
        <v>1681.5</v>
      </c>
      <c r="J29" s="176"/>
      <c r="K29" s="171">
        <v>167.0</v>
      </c>
      <c r="L29" s="176"/>
      <c r="M29" s="177">
        <f t="shared" si="2"/>
        <v>1848.5</v>
      </c>
    </row>
    <row r="30" ht="13.5" customHeight="1">
      <c r="A30" s="174">
        <v>43798.0</v>
      </c>
      <c r="B30" s="178">
        <f>0.5*(575+220+406+1750)</f>
        <v>1475.5</v>
      </c>
      <c r="C30" s="176"/>
      <c r="D30" s="186">
        <f>0.5*110+110</f>
        <v>165</v>
      </c>
      <c r="E30" s="179">
        <f>0.5*(2200)</f>
        <v>1100</v>
      </c>
      <c r="F30" s="177">
        <f t="shared" si="1"/>
        <v>2740.5</v>
      </c>
      <c r="G30" s="190">
        <f t="shared" si="3"/>
        <v>114071</v>
      </c>
      <c r="I30" s="178">
        <f>0.5*(575+220+406+1750)</f>
        <v>1475.5</v>
      </c>
      <c r="J30" s="176"/>
      <c r="K30" s="186">
        <f>0.5*110+110</f>
        <v>165</v>
      </c>
      <c r="L30" s="181">
        <f>0.5*(2200)+831</f>
        <v>1931</v>
      </c>
      <c r="M30" s="177">
        <f t="shared" si="2"/>
        <v>3571.5</v>
      </c>
    </row>
    <row r="31" ht="13.5" customHeight="1">
      <c r="A31" s="174">
        <v>43799.0</v>
      </c>
      <c r="B31" s="178">
        <f>0.5*(228+220+612+2920)</f>
        <v>1990</v>
      </c>
      <c r="C31" s="176"/>
      <c r="D31" s="176"/>
      <c r="E31" s="175">
        <v>6275.0</v>
      </c>
      <c r="F31" s="177">
        <f t="shared" si="1"/>
        <v>8265</v>
      </c>
      <c r="G31" s="190">
        <f t="shared" si="3"/>
        <v>107806</v>
      </c>
      <c r="I31" s="178">
        <f>0.5*(228+220+612+2920)</f>
        <v>1990</v>
      </c>
      <c r="J31" s="176"/>
      <c r="K31" s="176"/>
      <c r="L31">
        <f>1200+2300</f>
        <v>3500</v>
      </c>
      <c r="M31" s="177">
        <f t="shared" si="2"/>
        <v>5490</v>
      </c>
    </row>
    <row r="32" ht="13.5" customHeight="1">
      <c r="A32" s="182" t="s">
        <v>399</v>
      </c>
      <c r="B32" s="177">
        <f t="shared" ref="B32:E32" si="4">SUM(B2:B31)</f>
        <v>38684.5</v>
      </c>
      <c r="C32" s="177">
        <f t="shared" si="4"/>
        <v>3429</v>
      </c>
      <c r="D32" s="177">
        <f t="shared" si="4"/>
        <v>2720.5</v>
      </c>
      <c r="E32" s="177">
        <f t="shared" si="4"/>
        <v>13187.5</v>
      </c>
      <c r="F32" s="177">
        <f t="shared" si="1"/>
        <v>58021.5</v>
      </c>
      <c r="H32" s="182"/>
      <c r="I32" s="177">
        <f t="shared" ref="I32:L32" si="5">SUM(I2:I31)</f>
        <v>15363.5</v>
      </c>
      <c r="J32" s="177">
        <f t="shared" si="5"/>
        <v>1000</v>
      </c>
      <c r="K32" s="177">
        <f t="shared" si="5"/>
        <v>11197.5</v>
      </c>
      <c r="L32" s="177">
        <f t="shared" si="5"/>
        <v>7973.5</v>
      </c>
      <c r="M32" s="177">
        <f t="shared" si="2"/>
        <v>35534.5</v>
      </c>
    </row>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printOptions/>
  <pageMargins bottom="0.75" footer="0.0" header="0.0" left="0.7" right="0.7" top="0.75"/>
  <pageSetup paperSize="9" orientation="portrait"/>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c r="G1" s="193" t="s">
        <v>408</v>
      </c>
      <c r="J1" s="171" t="s">
        <v>409</v>
      </c>
    </row>
    <row r="2" ht="13.5" customHeight="1">
      <c r="A2" s="174">
        <v>43739.0</v>
      </c>
      <c r="B2" s="175">
        <f>128+668</f>
        <v>796</v>
      </c>
      <c r="C2" s="176"/>
      <c r="D2" s="176">
        <f>0.5*1600</f>
        <v>800</v>
      </c>
      <c r="E2" s="175"/>
      <c r="F2" s="177">
        <f t="shared" ref="F2:F33" si="1">SUM(B2:E2)</f>
        <v>1596</v>
      </c>
      <c r="G2" s="190">
        <f>2600-sum(B2:E2)+D2</f>
        <v>1804</v>
      </c>
      <c r="J2" s="173" t="s">
        <v>63</v>
      </c>
      <c r="K2" s="173" t="s">
        <v>64</v>
      </c>
      <c r="L2" s="173" t="s">
        <v>24</v>
      </c>
      <c r="M2" s="173" t="s">
        <v>121</v>
      </c>
      <c r="N2" s="173" t="s">
        <v>10</v>
      </c>
    </row>
    <row r="3" ht="13.5" customHeight="1">
      <c r="A3" s="174">
        <v>43740.0</v>
      </c>
      <c r="B3" s="186">
        <f>184+0.5*1088+224</f>
        <v>952</v>
      </c>
      <c r="C3" s="176"/>
      <c r="D3" s="176"/>
      <c r="E3" s="175"/>
      <c r="F3" s="177">
        <f t="shared" si="1"/>
        <v>952</v>
      </c>
      <c r="G3" s="190">
        <f t="shared" ref="G3:G8" si="2">G2+2600-sum(B3:E3)+D3</f>
        <v>3452</v>
      </c>
      <c r="J3">
        <f>0.5*1088</f>
        <v>544</v>
      </c>
      <c r="N3" s="194">
        <f t="shared" ref="N3:N12" si="3">sum(J3:M3)</f>
        <v>544</v>
      </c>
    </row>
    <row r="4" ht="13.5" customHeight="1">
      <c r="A4" s="174">
        <v>43741.0</v>
      </c>
      <c r="B4" s="186">
        <f>0.5*(1700)+500</f>
        <v>1350</v>
      </c>
      <c r="C4" s="176"/>
      <c r="D4" s="176"/>
      <c r="E4" s="181">
        <f>0.5*328+7752</f>
        <v>7916</v>
      </c>
      <c r="F4" s="177">
        <f t="shared" si="1"/>
        <v>9266</v>
      </c>
      <c r="G4" s="190">
        <f t="shared" si="2"/>
        <v>-3214</v>
      </c>
      <c r="J4">
        <f>0.5*(1700)</f>
        <v>850</v>
      </c>
      <c r="L4">
        <f>11328-7752</f>
        <v>3576</v>
      </c>
      <c r="M4" s="176">
        <f>0.5*328</f>
        <v>164</v>
      </c>
      <c r="N4" s="194">
        <f t="shared" si="3"/>
        <v>4590</v>
      </c>
    </row>
    <row r="5" ht="13.5" customHeight="1">
      <c r="A5" s="174">
        <v>43742.0</v>
      </c>
      <c r="B5" s="178">
        <f>0.5*(1130+1560)</f>
        <v>1345</v>
      </c>
      <c r="C5" s="175">
        <v>2000.0</v>
      </c>
      <c r="D5" s="179">
        <f>0.5*479</f>
        <v>239.5</v>
      </c>
      <c r="E5" s="176"/>
      <c r="F5" s="177">
        <f t="shared" si="1"/>
        <v>3584.5</v>
      </c>
      <c r="G5" s="190">
        <f t="shared" si="2"/>
        <v>-3959</v>
      </c>
      <c r="J5" s="175">
        <f>0.5*(1130+1560)</f>
        <v>1345</v>
      </c>
      <c r="L5" s="176">
        <f>0.5*479</f>
        <v>239.5</v>
      </c>
      <c r="N5" s="195">
        <f t="shared" si="3"/>
        <v>1584.5</v>
      </c>
    </row>
    <row r="6" ht="13.5" customHeight="1">
      <c r="A6" s="174">
        <v>43743.0</v>
      </c>
      <c r="B6" s="178">
        <f>(2910+559+350)*0.5</f>
        <v>1909.5</v>
      </c>
      <c r="C6" s="179">
        <f>0.5*(630*2+1000*2)</f>
        <v>1630</v>
      </c>
      <c r="D6" s="176"/>
      <c r="E6" s="176"/>
      <c r="F6" s="177">
        <f t="shared" si="1"/>
        <v>3539.5</v>
      </c>
      <c r="G6" s="190">
        <f t="shared" si="2"/>
        <v>-4898.5</v>
      </c>
      <c r="J6" s="175">
        <f>(2910+559+350)*0.5</f>
        <v>1909.5</v>
      </c>
      <c r="K6" s="176">
        <f>0.5*(630*2+1000*2)</f>
        <v>1630</v>
      </c>
      <c r="N6" s="195">
        <f t="shared" si="3"/>
        <v>3539.5</v>
      </c>
      <c r="O6" s="176"/>
    </row>
    <row r="7" ht="13.5" customHeight="1">
      <c r="A7" s="174">
        <v>43744.0</v>
      </c>
      <c r="B7" s="178">
        <f>0.5*(693+850+151+216+108)</f>
        <v>1009</v>
      </c>
      <c r="C7" s="179">
        <f>0.5*(840*2)</f>
        <v>840</v>
      </c>
      <c r="D7" s="181">
        <f>0.5*220+300</f>
        <v>410</v>
      </c>
      <c r="E7" s="176"/>
      <c r="F7" s="177">
        <f t="shared" si="1"/>
        <v>2259</v>
      </c>
      <c r="G7" s="190">
        <f t="shared" si="2"/>
        <v>-4147.5</v>
      </c>
      <c r="J7" s="175">
        <f>0.5*(693+850+151+216+108)</f>
        <v>1009</v>
      </c>
      <c r="K7" s="176">
        <f>0.5*(840*2)</f>
        <v>840</v>
      </c>
      <c r="L7" s="176">
        <f>0.5*220</f>
        <v>110</v>
      </c>
      <c r="M7" s="171">
        <v>1791.0</v>
      </c>
      <c r="N7" s="195">
        <f t="shared" si="3"/>
        <v>3750</v>
      </c>
    </row>
    <row r="8" ht="13.5" customHeight="1">
      <c r="A8" s="174">
        <v>43745.0</v>
      </c>
      <c r="B8" s="179">
        <f>0.5*(1640+1062+1151)</f>
        <v>1926.5</v>
      </c>
      <c r="C8" s="175"/>
      <c r="D8" s="176"/>
      <c r="E8" s="178">
        <f>0.5*(382)</f>
        <v>191</v>
      </c>
      <c r="F8" s="177">
        <f t="shared" si="1"/>
        <v>2117.5</v>
      </c>
      <c r="G8" s="190">
        <f t="shared" si="2"/>
        <v>-3665</v>
      </c>
      <c r="J8" s="176">
        <f>0.5*(1640+1062+1151)</f>
        <v>1926.5</v>
      </c>
      <c r="M8" s="175">
        <f>0.5*(382)+200</f>
        <v>391</v>
      </c>
      <c r="N8" s="195">
        <f t="shared" si="3"/>
        <v>2317.5</v>
      </c>
      <c r="O8" s="176"/>
    </row>
    <row r="9" ht="13.5" customHeight="1">
      <c r="A9" s="174">
        <v>43746.0</v>
      </c>
      <c r="B9" s="178">
        <f>0.5*(1022+2134+108)</f>
        <v>1632</v>
      </c>
      <c r="C9" s="176"/>
      <c r="D9" s="176"/>
      <c r="E9" s="192"/>
      <c r="F9" s="177">
        <f t="shared" si="1"/>
        <v>1632</v>
      </c>
      <c r="G9" s="190">
        <f>G8+2600-sum(B9:E9)+D9+E9</f>
        <v>-2697</v>
      </c>
      <c r="J9" s="175">
        <f>0.5*(1022+2134+108)</f>
        <v>1632</v>
      </c>
      <c r="N9" s="195">
        <f t="shared" si="3"/>
        <v>1632</v>
      </c>
      <c r="O9" s="176"/>
    </row>
    <row r="10" ht="13.5" customHeight="1">
      <c r="A10" s="174">
        <v>43747.0</v>
      </c>
      <c r="B10" s="178">
        <f>0.5*(330+845+102+106+1011)</f>
        <v>1197</v>
      </c>
      <c r="C10" s="176"/>
      <c r="D10" s="176"/>
      <c r="E10" s="176"/>
      <c r="F10" s="177">
        <f t="shared" si="1"/>
        <v>1197</v>
      </c>
      <c r="G10" s="190">
        <f t="shared" ref="G10:G14" si="4">G9+2600-sum(B10:E10)+D10</f>
        <v>-1294</v>
      </c>
      <c r="J10" s="175">
        <f>0.5*(330+845+102+106+1011)</f>
        <v>1197</v>
      </c>
      <c r="N10" s="195">
        <f t="shared" si="3"/>
        <v>1197</v>
      </c>
      <c r="O10" s="176"/>
    </row>
    <row r="11" ht="13.5" customHeight="1">
      <c r="A11" s="174">
        <v>43748.0</v>
      </c>
      <c r="B11" s="186">
        <f>0.5*((807+509+790+955+618+525)+(1518))</f>
        <v>2861</v>
      </c>
      <c r="C11" s="176"/>
      <c r="D11" s="178">
        <f>0.5*(110+330+110)</f>
        <v>275</v>
      </c>
      <c r="E11" s="175"/>
      <c r="F11" s="177">
        <f t="shared" si="1"/>
        <v>3136</v>
      </c>
      <c r="G11" s="190">
        <f t="shared" si="4"/>
        <v>-1555</v>
      </c>
      <c r="J11" s="175">
        <f>0.5*((807+509+790+955+618+525))</f>
        <v>2102</v>
      </c>
      <c r="L11" s="175">
        <f>0.5*(110+330+110)</f>
        <v>275</v>
      </c>
      <c r="N11" s="195">
        <f t="shared" si="3"/>
        <v>2377</v>
      </c>
    </row>
    <row r="12" ht="13.5" customHeight="1">
      <c r="A12" s="174">
        <v>43749.0</v>
      </c>
      <c r="B12" s="178">
        <f>0.5*(260+348+316+2696)</f>
        <v>1810</v>
      </c>
      <c r="C12" s="175"/>
      <c r="D12" s="176"/>
      <c r="E12" s="176"/>
      <c r="F12" s="177">
        <f t="shared" si="1"/>
        <v>1810</v>
      </c>
      <c r="G12" s="190">
        <f t="shared" si="4"/>
        <v>-765</v>
      </c>
      <c r="J12" s="175">
        <f>0.5*(260+348+316+2696)</f>
        <v>1810</v>
      </c>
      <c r="N12" s="195">
        <f t="shared" si="3"/>
        <v>1810</v>
      </c>
    </row>
    <row r="13" ht="13.5" customHeight="1">
      <c r="A13" s="174">
        <v>43750.0</v>
      </c>
      <c r="B13" s="175"/>
      <c r="C13" s="176"/>
      <c r="D13" s="176"/>
      <c r="E13" s="176"/>
      <c r="F13" s="177">
        <f t="shared" si="1"/>
        <v>0</v>
      </c>
      <c r="G13" s="190">
        <f t="shared" si="4"/>
        <v>1835</v>
      </c>
      <c r="J13" s="194">
        <f t="shared" ref="J13:N13" si="5">sum(J3:J12)</f>
        <v>14325</v>
      </c>
      <c r="K13" s="194">
        <f t="shared" si="5"/>
        <v>2470</v>
      </c>
      <c r="L13" s="194">
        <f t="shared" si="5"/>
        <v>4200.5</v>
      </c>
      <c r="M13" s="194">
        <f t="shared" si="5"/>
        <v>2346</v>
      </c>
      <c r="N13" s="194">
        <f t="shared" si="5"/>
        <v>23341.5</v>
      </c>
    </row>
    <row r="14" ht="13.5" customHeight="1">
      <c r="A14" s="174">
        <v>43751.0</v>
      </c>
      <c r="B14" s="175"/>
      <c r="C14" s="176"/>
      <c r="D14" s="176"/>
      <c r="E14" s="176"/>
      <c r="F14" s="177">
        <f t="shared" si="1"/>
        <v>0</v>
      </c>
      <c r="G14" s="190">
        <f t="shared" si="4"/>
        <v>4435</v>
      </c>
      <c r="J14" s="196" t="s">
        <v>410</v>
      </c>
      <c r="K14" s="194"/>
      <c r="L14" s="194"/>
      <c r="M14" s="194"/>
      <c r="N14" s="194">
        <f>N13-7000</f>
        <v>16341.5</v>
      </c>
    </row>
    <row r="15" ht="13.5" customHeight="1">
      <c r="A15" s="174">
        <v>43752.0</v>
      </c>
      <c r="B15" s="175">
        <f>935+610</f>
        <v>1545</v>
      </c>
      <c r="C15" s="175">
        <v>1000.0</v>
      </c>
      <c r="D15" s="176"/>
      <c r="E15" s="176"/>
      <c r="F15" s="177">
        <f t="shared" si="1"/>
        <v>2545</v>
      </c>
      <c r="G15" s="190">
        <f t="shared" ref="G15:G31" si="6">G14+705-sum(B15:E15)+D15</f>
        <v>2595</v>
      </c>
      <c r="J15" s="196" t="s">
        <v>411</v>
      </c>
      <c r="K15" s="194"/>
      <c r="L15" s="194"/>
      <c r="M15" s="194"/>
      <c r="N15" s="196">
        <v>8229.0</v>
      </c>
    </row>
    <row r="16" ht="13.5" customHeight="1">
      <c r="A16" s="174">
        <v>43753.0</v>
      </c>
      <c r="B16" s="175">
        <f>611+348+577</f>
        <v>1536</v>
      </c>
      <c r="C16" s="176"/>
      <c r="D16" s="176"/>
      <c r="E16" s="176"/>
      <c r="F16" s="177">
        <f t="shared" si="1"/>
        <v>1536</v>
      </c>
      <c r="G16" s="190">
        <f t="shared" si="6"/>
        <v>1764</v>
      </c>
      <c r="J16" s="196" t="s">
        <v>412</v>
      </c>
      <c r="K16" s="194"/>
      <c r="L16" s="194"/>
      <c r="M16" s="194"/>
      <c r="N16" s="194">
        <f>N14-8229</f>
        <v>8112.5</v>
      </c>
    </row>
    <row r="17" ht="13.5" customHeight="1">
      <c r="A17" s="174">
        <v>43754.0</v>
      </c>
      <c r="B17" s="175">
        <v>660.0</v>
      </c>
      <c r="C17" s="176"/>
      <c r="D17" s="176"/>
      <c r="E17" s="176"/>
      <c r="F17" s="177">
        <f t="shared" si="1"/>
        <v>660</v>
      </c>
      <c r="G17" s="190">
        <f t="shared" si="6"/>
        <v>1809</v>
      </c>
    </row>
    <row r="18" ht="13.5" customHeight="1">
      <c r="A18" s="174">
        <v>43755.0</v>
      </c>
      <c r="B18" s="175">
        <v>495.0</v>
      </c>
      <c r="C18" s="175">
        <v>3000.0</v>
      </c>
      <c r="D18" s="175">
        <v>5000.0</v>
      </c>
      <c r="E18" s="175">
        <v>2550.0</v>
      </c>
      <c r="F18" s="177">
        <f t="shared" si="1"/>
        <v>11045</v>
      </c>
      <c r="G18" s="190">
        <f t="shared" si="6"/>
        <v>-3531</v>
      </c>
    </row>
    <row r="19" ht="13.5" customHeight="1">
      <c r="A19" s="174">
        <v>43756.0</v>
      </c>
      <c r="B19" s="175">
        <v>843.0</v>
      </c>
      <c r="C19" s="176"/>
      <c r="D19" s="176"/>
      <c r="E19" s="175">
        <f>100+2040</f>
        <v>2140</v>
      </c>
      <c r="F19" s="177">
        <f t="shared" si="1"/>
        <v>2983</v>
      </c>
      <c r="G19" s="190">
        <f t="shared" si="6"/>
        <v>-5809</v>
      </c>
    </row>
    <row r="20" ht="13.5" customHeight="1">
      <c r="A20" s="174">
        <v>43757.0</v>
      </c>
      <c r="B20" s="175"/>
      <c r="C20" s="176"/>
      <c r="D20" s="175"/>
      <c r="E20" s="175">
        <v>603.0</v>
      </c>
      <c r="F20" s="177">
        <f t="shared" si="1"/>
        <v>603</v>
      </c>
      <c r="G20" s="190">
        <f t="shared" si="6"/>
        <v>-5707</v>
      </c>
    </row>
    <row r="21" ht="13.5" customHeight="1">
      <c r="A21" s="174">
        <v>43758.0</v>
      </c>
      <c r="B21" s="175">
        <v>1296.0</v>
      </c>
      <c r="C21" s="176"/>
      <c r="D21" s="176"/>
      <c r="E21" s="175">
        <v>330.0</v>
      </c>
      <c r="F21" s="177">
        <f t="shared" si="1"/>
        <v>1626</v>
      </c>
      <c r="G21" s="190">
        <f t="shared" si="6"/>
        <v>-6628</v>
      </c>
    </row>
    <row r="22" ht="13.5" customHeight="1">
      <c r="A22" s="174">
        <v>43759.0</v>
      </c>
      <c r="B22" s="175">
        <v>548.0</v>
      </c>
      <c r="C22" s="176"/>
      <c r="D22" s="176"/>
      <c r="E22" s="176"/>
      <c r="F22" s="177">
        <f t="shared" si="1"/>
        <v>548</v>
      </c>
      <c r="G22" s="190">
        <f t="shared" si="6"/>
        <v>-6471</v>
      </c>
    </row>
    <row r="23" ht="13.5" customHeight="1">
      <c r="A23" s="174">
        <v>43760.0</v>
      </c>
      <c r="B23" s="175">
        <f>1406+3222</f>
        <v>4628</v>
      </c>
      <c r="C23" s="176"/>
      <c r="D23" s="175">
        <v>6779.0</v>
      </c>
      <c r="E23" s="176"/>
      <c r="F23" s="177">
        <f t="shared" si="1"/>
        <v>11407</v>
      </c>
      <c r="G23" s="190">
        <f t="shared" si="6"/>
        <v>-10394</v>
      </c>
    </row>
    <row r="24" ht="13.5" customHeight="1">
      <c r="A24" s="174">
        <v>43761.0</v>
      </c>
      <c r="B24" s="175">
        <f>572+542</f>
        <v>1114</v>
      </c>
      <c r="C24" s="176"/>
      <c r="D24" s="176"/>
      <c r="E24" s="175">
        <f>467+300</f>
        <v>767</v>
      </c>
      <c r="F24" s="177">
        <f t="shared" si="1"/>
        <v>1881</v>
      </c>
      <c r="G24" s="190">
        <f t="shared" si="6"/>
        <v>-11570</v>
      </c>
    </row>
    <row r="25" ht="13.5" customHeight="1">
      <c r="A25" s="174">
        <v>43762.0</v>
      </c>
      <c r="B25" s="175">
        <v>440.0</v>
      </c>
      <c r="C25" s="176"/>
      <c r="D25" s="176"/>
      <c r="E25" s="176"/>
      <c r="F25" s="177">
        <f t="shared" si="1"/>
        <v>440</v>
      </c>
      <c r="G25" s="190">
        <f t="shared" si="6"/>
        <v>-11305</v>
      </c>
    </row>
    <row r="26" ht="13.5" customHeight="1">
      <c r="A26" s="174">
        <v>43763.0</v>
      </c>
      <c r="B26" s="175">
        <f>2192+544</f>
        <v>2736</v>
      </c>
      <c r="C26" s="176"/>
      <c r="D26" s="176"/>
      <c r="E26" s="175">
        <v>300.0</v>
      </c>
      <c r="F26" s="177">
        <f t="shared" si="1"/>
        <v>3036</v>
      </c>
      <c r="G26" s="190">
        <f t="shared" si="6"/>
        <v>-13636</v>
      </c>
    </row>
    <row r="27" ht="13.5" customHeight="1">
      <c r="A27" s="174">
        <v>43764.0</v>
      </c>
      <c r="B27" s="176"/>
      <c r="C27" s="176"/>
      <c r="D27" s="176"/>
      <c r="E27" s="176">
        <f>40*16</f>
        <v>640</v>
      </c>
      <c r="F27" s="177">
        <f t="shared" si="1"/>
        <v>640</v>
      </c>
      <c r="G27" s="190">
        <f t="shared" si="6"/>
        <v>-13571</v>
      </c>
    </row>
    <row r="28" ht="13.5" customHeight="1">
      <c r="A28" s="174">
        <v>43765.0</v>
      </c>
      <c r="B28" s="176"/>
      <c r="C28" s="176"/>
      <c r="D28" s="176"/>
      <c r="E28" s="176"/>
      <c r="F28" s="177">
        <f t="shared" si="1"/>
        <v>0</v>
      </c>
      <c r="G28" s="190">
        <f t="shared" si="6"/>
        <v>-12866</v>
      </c>
    </row>
    <row r="29" ht="13.5" customHeight="1">
      <c r="A29" s="174">
        <v>43766.0</v>
      </c>
      <c r="B29" s="176"/>
      <c r="C29" s="176"/>
      <c r="D29" s="176"/>
      <c r="E29" s="175">
        <v>1541.0</v>
      </c>
      <c r="F29" s="177">
        <f t="shared" si="1"/>
        <v>1541</v>
      </c>
      <c r="G29" s="190">
        <f t="shared" si="6"/>
        <v>-13702</v>
      </c>
    </row>
    <row r="30" ht="13.5" customHeight="1">
      <c r="A30" s="174">
        <v>43767.0</v>
      </c>
      <c r="B30" s="175">
        <f>163+709</f>
        <v>872</v>
      </c>
      <c r="C30" s="175">
        <f>4260+2000</f>
        <v>6260</v>
      </c>
      <c r="D30" s="176"/>
      <c r="E30" s="175">
        <v>1600.0</v>
      </c>
      <c r="F30" s="177">
        <f t="shared" si="1"/>
        <v>8732</v>
      </c>
      <c r="G30" s="190">
        <f t="shared" si="6"/>
        <v>-21729</v>
      </c>
    </row>
    <row r="31" ht="13.5" customHeight="1">
      <c r="A31" s="174">
        <v>43768.0</v>
      </c>
      <c r="B31" s="175">
        <f>503+473</f>
        <v>976</v>
      </c>
      <c r="C31" s="175">
        <v>956.0</v>
      </c>
      <c r="D31" s="176"/>
      <c r="E31" s="176"/>
      <c r="F31" s="177">
        <f t="shared" si="1"/>
        <v>1932</v>
      </c>
      <c r="G31" s="190">
        <f t="shared" si="6"/>
        <v>-22956</v>
      </c>
    </row>
    <row r="32" ht="13.5" customHeight="1">
      <c r="A32" s="174">
        <v>43769.0</v>
      </c>
      <c r="B32" s="175">
        <f>503+1711+151</f>
        <v>2365</v>
      </c>
      <c r="C32" s="175">
        <v>201.0</v>
      </c>
      <c r="D32" s="176"/>
      <c r="E32" s="192">
        <f>2190+3783+4203+8053+8370</f>
        <v>26599</v>
      </c>
      <c r="F32" s="177">
        <f t="shared" si="1"/>
        <v>29165</v>
      </c>
      <c r="G32" s="190">
        <f>G31+705-sum(B32:E32)+D32+138100+8370+8053</f>
        <v>103107</v>
      </c>
      <c r="H32" s="184">
        <f>20000-sum(D2:D32)</f>
        <v>6496.5</v>
      </c>
    </row>
    <row r="33" ht="13.5" customHeight="1">
      <c r="A33" s="182" t="s">
        <v>399</v>
      </c>
      <c r="B33" s="177">
        <f t="shared" ref="B33:E33" si="7">SUM(B2:B32)</f>
        <v>36842</v>
      </c>
      <c r="C33" s="177">
        <f t="shared" si="7"/>
        <v>15887</v>
      </c>
      <c r="D33" s="177">
        <f t="shared" si="7"/>
        <v>13503.5</v>
      </c>
      <c r="E33" s="177">
        <f t="shared" si="7"/>
        <v>45177</v>
      </c>
      <c r="F33" s="177">
        <f t="shared" si="1"/>
        <v>111409.5</v>
      </c>
    </row>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row>
    <row r="2" ht="13.5" customHeight="1">
      <c r="A2" s="174">
        <v>43709.0</v>
      </c>
      <c r="B2" s="175">
        <f>108+650+580+404</f>
        <v>1742</v>
      </c>
      <c r="C2" s="176"/>
      <c r="D2" s="176"/>
      <c r="E2" s="175"/>
      <c r="F2" s="177">
        <f t="shared" ref="F2:F10" si="1">SUM(B2:E2)</f>
        <v>1742</v>
      </c>
    </row>
    <row r="3" ht="13.5" customHeight="1">
      <c r="A3" s="174">
        <v>43710.0</v>
      </c>
      <c r="B3" s="175">
        <f>113+120</f>
        <v>233</v>
      </c>
      <c r="C3" s="176"/>
      <c r="D3" s="176"/>
      <c r="E3" s="175">
        <v>500.0</v>
      </c>
      <c r="F3" s="177">
        <f t="shared" si="1"/>
        <v>733</v>
      </c>
    </row>
    <row r="4" ht="13.5" customHeight="1">
      <c r="A4" s="174">
        <v>43711.0</v>
      </c>
      <c r="B4" s="192">
        <f>460+322</f>
        <v>782</v>
      </c>
      <c r="C4" s="176"/>
      <c r="D4" s="175">
        <v>216.0</v>
      </c>
      <c r="E4" s="176"/>
      <c r="F4" s="177">
        <f t="shared" si="1"/>
        <v>998</v>
      </c>
    </row>
    <row r="5" ht="13.5" customHeight="1">
      <c r="A5" s="174">
        <v>43712.0</v>
      </c>
      <c r="B5" s="186">
        <f>0.5*(108+410+367+734)+842</f>
        <v>1651.5</v>
      </c>
      <c r="C5" s="176"/>
      <c r="D5" s="176"/>
      <c r="E5" s="176"/>
      <c r="F5" s="177">
        <f t="shared" si="1"/>
        <v>1651.5</v>
      </c>
      <c r="H5" s="175"/>
    </row>
    <row r="6" ht="13.5" customHeight="1">
      <c r="A6" s="174">
        <v>43713.0</v>
      </c>
      <c r="B6" s="197">
        <f>0.5*(557)+1568</f>
        <v>1846.5</v>
      </c>
      <c r="C6" s="176"/>
      <c r="D6" s="176"/>
      <c r="E6" s="176"/>
      <c r="F6" s="177">
        <f t="shared" si="1"/>
        <v>1846.5</v>
      </c>
      <c r="H6" s="198"/>
    </row>
    <row r="7" ht="13.5" customHeight="1">
      <c r="A7" s="174">
        <v>43714.0</v>
      </c>
      <c r="B7" s="186">
        <f>0.5*(764+1328)+614</f>
        <v>1660</v>
      </c>
      <c r="C7" s="176"/>
      <c r="D7" s="176"/>
      <c r="E7" s="176"/>
      <c r="F7" s="177">
        <f t="shared" si="1"/>
        <v>1660</v>
      </c>
      <c r="H7" s="198"/>
    </row>
    <row r="8" ht="13.5" customHeight="1">
      <c r="A8" s="174">
        <v>43715.0</v>
      </c>
      <c r="B8" s="175">
        <v>476.0</v>
      </c>
      <c r="C8" s="175"/>
      <c r="D8" s="178">
        <f>0.5*(972)</f>
        <v>486</v>
      </c>
      <c r="E8" s="176"/>
      <c r="F8" s="177">
        <f t="shared" si="1"/>
        <v>962</v>
      </c>
      <c r="H8" s="175"/>
    </row>
    <row r="9" ht="13.5" customHeight="1">
      <c r="A9" s="174">
        <v>43716.0</v>
      </c>
      <c r="B9" s="178">
        <f>0.5*(167+3854+854)</f>
        <v>2437.5</v>
      </c>
      <c r="C9" s="176"/>
      <c r="D9" s="176"/>
      <c r="E9" s="175">
        <v>7611.0</v>
      </c>
      <c r="F9" s="177">
        <f t="shared" si="1"/>
        <v>10048.5</v>
      </c>
      <c r="H9" s="111"/>
    </row>
    <row r="10" ht="13.5" customHeight="1">
      <c r="A10" s="174">
        <v>43717.0</v>
      </c>
      <c r="B10" s="186">
        <f>0.5*(324+3002)+562</f>
        <v>2225</v>
      </c>
      <c r="C10" s="176"/>
      <c r="D10" s="176"/>
      <c r="E10" s="176"/>
      <c r="F10" s="177">
        <f t="shared" si="1"/>
        <v>2225</v>
      </c>
      <c r="H10" s="198"/>
    </row>
    <row r="11" ht="13.5" customHeight="1">
      <c r="A11" s="174">
        <v>43718.0</v>
      </c>
      <c r="B11" s="178">
        <f>0.5*(201+372+3150)</f>
        <v>1861.5</v>
      </c>
      <c r="C11" s="175">
        <v>1300.0</v>
      </c>
      <c r="D11" s="175"/>
      <c r="F11" s="177">
        <f>SUM(B11:D11)</f>
        <v>3161.5</v>
      </c>
      <c r="H11" s="111"/>
    </row>
    <row r="12" ht="13.5" customHeight="1">
      <c r="A12" s="174">
        <v>43719.0</v>
      </c>
      <c r="B12" s="186">
        <f>0.5*(216+743)+1536</f>
        <v>2015.5</v>
      </c>
      <c r="C12" s="175"/>
      <c r="D12" s="176"/>
      <c r="E12" s="176"/>
      <c r="F12" s="177">
        <f t="shared" ref="F12:F32" si="2">SUM(B12:E12)</f>
        <v>2015.5</v>
      </c>
      <c r="H12" s="198"/>
    </row>
    <row r="13" ht="13.5" customHeight="1">
      <c r="A13" s="174">
        <v>43720.0</v>
      </c>
      <c r="B13" s="186">
        <f>0.5*(734)+615</f>
        <v>982</v>
      </c>
      <c r="C13" s="176"/>
      <c r="D13" s="176"/>
      <c r="E13" s="176"/>
      <c r="F13" s="177">
        <f t="shared" si="2"/>
        <v>982</v>
      </c>
      <c r="H13" s="198"/>
    </row>
    <row r="14" ht="13.5" customHeight="1">
      <c r="A14" s="174">
        <v>43721.0</v>
      </c>
      <c r="B14" s="186">
        <f>0.5*(193+4000)+680</f>
        <v>2776.5</v>
      </c>
      <c r="C14" s="176"/>
      <c r="D14" s="178">
        <f>0.5*(432)</f>
        <v>216</v>
      </c>
      <c r="E14" s="175">
        <v>1000.0</v>
      </c>
      <c r="F14" s="177">
        <f t="shared" si="2"/>
        <v>3992.5</v>
      </c>
      <c r="H14" s="199"/>
    </row>
    <row r="15" ht="13.5" customHeight="1">
      <c r="A15" s="174">
        <v>43722.0</v>
      </c>
      <c r="B15" s="186">
        <f>0.5*(108+938+2030)</f>
        <v>1538</v>
      </c>
      <c r="C15" s="176"/>
      <c r="D15" s="175">
        <v>3980.0</v>
      </c>
      <c r="E15" s="178">
        <f>0.5*(2060)+450</f>
        <v>1480</v>
      </c>
      <c r="F15" s="177">
        <f t="shared" si="2"/>
        <v>6998</v>
      </c>
      <c r="H15" s="198"/>
    </row>
    <row r="16" ht="13.5" customHeight="1">
      <c r="A16" s="174">
        <v>43723.0</v>
      </c>
      <c r="B16" s="178">
        <f>0.5*(560+590)</f>
        <v>575</v>
      </c>
      <c r="C16" s="200">
        <f>330+620</f>
        <v>950</v>
      </c>
      <c r="D16" s="176"/>
      <c r="E16" s="176">
        <f>50*16</f>
        <v>800</v>
      </c>
      <c r="F16" s="177">
        <f t="shared" si="2"/>
        <v>2325</v>
      </c>
    </row>
    <row r="17" ht="13.5" customHeight="1">
      <c r="A17" s="174">
        <v>43724.0</v>
      </c>
      <c r="B17" s="175">
        <f>423+284</f>
        <v>707</v>
      </c>
      <c r="C17" s="201">
        <f>780+1000</f>
        <v>1780</v>
      </c>
      <c r="D17" s="176"/>
      <c r="E17" s="175">
        <v>108.0</v>
      </c>
      <c r="F17" s="177">
        <f t="shared" si="2"/>
        <v>2595</v>
      </c>
    </row>
    <row r="18" ht="13.5" customHeight="1">
      <c r="A18" s="174">
        <v>43725.0</v>
      </c>
      <c r="B18" s="175">
        <f>587</f>
        <v>587</v>
      </c>
      <c r="C18" s="176"/>
      <c r="D18" s="176"/>
      <c r="E18" s="176"/>
      <c r="F18" s="177">
        <f t="shared" si="2"/>
        <v>587</v>
      </c>
    </row>
    <row r="19" ht="13.5" customHeight="1">
      <c r="A19" s="174">
        <v>43726.0</v>
      </c>
      <c r="B19" s="175">
        <f>599+566</f>
        <v>1165</v>
      </c>
      <c r="C19" s="176"/>
      <c r="D19" s="176"/>
      <c r="E19" s="175"/>
      <c r="F19" s="177">
        <f t="shared" si="2"/>
        <v>1165</v>
      </c>
    </row>
    <row r="20" ht="13.5" customHeight="1">
      <c r="A20" s="174">
        <v>43727.0</v>
      </c>
      <c r="B20" s="175">
        <v>1200.0</v>
      </c>
      <c r="C20" s="176"/>
      <c r="D20" s="175"/>
      <c r="E20" s="175"/>
      <c r="F20" s="177">
        <f t="shared" si="2"/>
        <v>1200</v>
      </c>
    </row>
    <row r="21" ht="13.5" customHeight="1">
      <c r="A21" s="174">
        <v>43728.0</v>
      </c>
      <c r="B21" s="176">
        <f>381+1100</f>
        <v>1481</v>
      </c>
      <c r="C21" s="176"/>
      <c r="D21" s="176"/>
      <c r="E21" s="176"/>
      <c r="F21" s="177">
        <f t="shared" si="2"/>
        <v>1481</v>
      </c>
    </row>
    <row r="22" ht="13.5" customHeight="1">
      <c r="A22" s="174">
        <v>43729.0</v>
      </c>
      <c r="B22" s="176">
        <f>205+1800</f>
        <v>2005</v>
      </c>
      <c r="C22" s="176"/>
      <c r="D22" s="176"/>
      <c r="E22" s="176"/>
      <c r="F22" s="177">
        <f t="shared" si="2"/>
        <v>2005</v>
      </c>
    </row>
    <row r="23" ht="13.5" customHeight="1">
      <c r="A23" s="174">
        <v>43730.0</v>
      </c>
      <c r="B23" s="175">
        <f>108+1080+1400</f>
        <v>2588</v>
      </c>
      <c r="C23" s="176"/>
      <c r="D23" s="176"/>
      <c r="E23" s="176"/>
      <c r="F23" s="177">
        <f t="shared" si="2"/>
        <v>2588</v>
      </c>
    </row>
    <row r="24" ht="13.5" customHeight="1">
      <c r="A24" s="174">
        <v>43731.0</v>
      </c>
      <c r="B24" s="176">
        <f>720</f>
        <v>720</v>
      </c>
      <c r="C24" s="176"/>
      <c r="D24" s="176"/>
      <c r="E24" s="176"/>
      <c r="F24" s="177">
        <f t="shared" si="2"/>
        <v>720</v>
      </c>
    </row>
    <row r="25" ht="13.5" customHeight="1">
      <c r="A25" s="174">
        <v>43732.0</v>
      </c>
      <c r="B25" s="176"/>
      <c r="C25" s="176"/>
      <c r="D25" s="176"/>
      <c r="E25" s="176"/>
      <c r="F25" s="177">
        <f t="shared" si="2"/>
        <v>0</v>
      </c>
    </row>
    <row r="26" ht="13.5" customHeight="1">
      <c r="A26" s="174">
        <v>43733.0</v>
      </c>
      <c r="B26" s="176">
        <f>501+138</f>
        <v>639</v>
      </c>
      <c r="C26" s="176"/>
      <c r="D26" s="176"/>
      <c r="E26" s="176"/>
      <c r="F26" s="177">
        <f t="shared" si="2"/>
        <v>639</v>
      </c>
    </row>
    <row r="27" ht="13.5" customHeight="1">
      <c r="A27" s="174">
        <v>43734.0</v>
      </c>
      <c r="B27" s="176">
        <f>403+1140</f>
        <v>1543</v>
      </c>
      <c r="C27" s="175">
        <v>2000.0</v>
      </c>
      <c r="D27" s="176"/>
      <c r="E27" s="175">
        <v>300.0</v>
      </c>
      <c r="F27" s="177">
        <f t="shared" si="2"/>
        <v>3843</v>
      </c>
    </row>
    <row r="28" ht="13.5" customHeight="1">
      <c r="A28" s="174">
        <v>43735.0</v>
      </c>
      <c r="B28" s="176">
        <f>650</f>
        <v>650</v>
      </c>
      <c r="C28" s="176"/>
      <c r="D28" s="176"/>
      <c r="E28" s="176"/>
      <c r="F28" s="177">
        <f t="shared" si="2"/>
        <v>650</v>
      </c>
    </row>
    <row r="29" ht="13.5" customHeight="1">
      <c r="A29" s="174">
        <v>43736.0</v>
      </c>
      <c r="B29" s="176">
        <f>555+1800+1250</f>
        <v>3605</v>
      </c>
      <c r="C29" s="176"/>
      <c r="D29" s="176"/>
      <c r="E29" s="176"/>
      <c r="F29" s="177">
        <f t="shared" si="2"/>
        <v>3605</v>
      </c>
    </row>
    <row r="30" ht="13.5" customHeight="1">
      <c r="A30" s="174">
        <v>43737.0</v>
      </c>
      <c r="B30" s="175">
        <f>108+520</f>
        <v>628</v>
      </c>
      <c r="C30" s="176"/>
      <c r="D30" s="176"/>
      <c r="E30" s="176"/>
      <c r="F30" s="177">
        <f t="shared" si="2"/>
        <v>628</v>
      </c>
    </row>
    <row r="31" ht="13.5" customHeight="1">
      <c r="A31" s="174">
        <v>43738.0</v>
      </c>
      <c r="B31" s="175">
        <v>700.0</v>
      </c>
      <c r="C31" s="181">
        <f>0.5*(5640)+3000</f>
        <v>5820</v>
      </c>
      <c r="D31" s="176"/>
      <c r="E31" s="175">
        <f>15000+769+4193+600</f>
        <v>20562</v>
      </c>
      <c r="F31" s="177">
        <f t="shared" si="2"/>
        <v>27082</v>
      </c>
    </row>
    <row r="32" ht="13.5" customHeight="1">
      <c r="A32" s="182" t="s">
        <v>399</v>
      </c>
      <c r="B32" s="177">
        <f t="shared" ref="B32:E32" si="3">SUM(B2:B31)</f>
        <v>41020</v>
      </c>
      <c r="C32" s="177">
        <f t="shared" si="3"/>
        <v>11850</v>
      </c>
      <c r="D32" s="177">
        <f t="shared" si="3"/>
        <v>4898</v>
      </c>
      <c r="E32" s="177">
        <f t="shared" si="3"/>
        <v>32361</v>
      </c>
      <c r="F32" s="177">
        <f t="shared" si="2"/>
        <v>90129</v>
      </c>
    </row>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printOptions/>
  <pageMargins bottom="0.75" footer="0.0" header="0.0" left="0.7" right="0.7" top="0.75"/>
  <pageSetup paperSize="9" orientation="portrait"/>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row>
    <row r="2" ht="13.5" customHeight="1">
      <c r="A2" s="174">
        <v>43678.0</v>
      </c>
      <c r="B2" s="175">
        <f>760+1046</f>
        <v>1806</v>
      </c>
      <c r="C2" s="176"/>
      <c r="D2" s="176"/>
      <c r="E2" s="175">
        <v>267.0</v>
      </c>
      <c r="F2" s="177">
        <f t="shared" ref="F2:F33" si="1">SUM(B2:E2)</f>
        <v>2073</v>
      </c>
    </row>
    <row r="3" ht="13.5" customHeight="1">
      <c r="A3" s="174">
        <v>43679.0</v>
      </c>
      <c r="B3" s="175">
        <v>838.0</v>
      </c>
      <c r="C3" s="176"/>
      <c r="D3" s="176"/>
      <c r="E3" s="175"/>
      <c r="F3" s="177">
        <f t="shared" si="1"/>
        <v>838</v>
      </c>
    </row>
    <row r="4" ht="13.5" customHeight="1">
      <c r="A4" s="174">
        <v>43680.0</v>
      </c>
      <c r="B4" s="175">
        <f>(2200+2800+2851)/2</f>
        <v>3925.5</v>
      </c>
      <c r="C4" s="176">
        <f>600*2</f>
        <v>1200</v>
      </c>
      <c r="D4" s="175">
        <f>3229+540</f>
        <v>3769</v>
      </c>
      <c r="E4" s="175">
        <v>864.0</v>
      </c>
      <c r="F4" s="177">
        <f t="shared" si="1"/>
        <v>9758.5</v>
      </c>
    </row>
    <row r="5" ht="13.5" customHeight="1">
      <c r="A5" s="174">
        <v>43681.0</v>
      </c>
      <c r="B5" s="178">
        <f>(1467+1023+3384+878)/2</f>
        <v>3376</v>
      </c>
      <c r="C5" s="176"/>
      <c r="D5" s="175">
        <v>200.0</v>
      </c>
      <c r="E5" s="175">
        <v>289.0</v>
      </c>
      <c r="F5" s="177">
        <f t="shared" si="1"/>
        <v>3865</v>
      </c>
    </row>
    <row r="6" ht="13.5" customHeight="1">
      <c r="A6" s="174">
        <v>43682.0</v>
      </c>
      <c r="B6" s="178">
        <f>(267+560+1041+545)/2</f>
        <v>1206.5</v>
      </c>
      <c r="C6" s="176"/>
      <c r="D6" s="175">
        <v>432.0</v>
      </c>
      <c r="E6" s="175">
        <v>108.0</v>
      </c>
      <c r="F6" s="177">
        <f t="shared" si="1"/>
        <v>1746.5</v>
      </c>
    </row>
    <row r="7" ht="13.5" customHeight="1">
      <c r="A7" s="174">
        <v>43683.0</v>
      </c>
      <c r="B7" s="178">
        <f>(750+650)/2</f>
        <v>700</v>
      </c>
      <c r="C7" s="176"/>
      <c r="D7" s="176"/>
      <c r="E7" s="176">
        <f>2680+5450</f>
        <v>8130</v>
      </c>
      <c r="F7" s="177">
        <f t="shared" si="1"/>
        <v>8830</v>
      </c>
    </row>
    <row r="8" ht="13.5" customHeight="1">
      <c r="A8" s="174">
        <v>43684.0</v>
      </c>
      <c r="B8" s="178">
        <f>(357+138+1239+153+357)/2</f>
        <v>1122</v>
      </c>
      <c r="C8" s="175"/>
      <c r="D8" s="176"/>
      <c r="E8" s="176"/>
      <c r="F8" s="177">
        <f t="shared" si="1"/>
        <v>1122</v>
      </c>
    </row>
    <row r="9" ht="13.5" customHeight="1">
      <c r="A9" s="174">
        <v>43685.0</v>
      </c>
      <c r="B9" s="178">
        <f>(2500+1920+321)/2</f>
        <v>2370.5</v>
      </c>
      <c r="C9" s="176"/>
      <c r="D9" s="176">
        <f>5450+2680</f>
        <v>8130</v>
      </c>
      <c r="E9" s="175">
        <v>500.0</v>
      </c>
      <c r="F9" s="177">
        <f t="shared" si="1"/>
        <v>11000.5</v>
      </c>
    </row>
    <row r="10" ht="13.5" customHeight="1">
      <c r="A10" s="174">
        <v>43686.0</v>
      </c>
      <c r="B10" s="178">
        <f>(1195+800)/2</f>
        <v>997.5</v>
      </c>
      <c r="C10" s="176"/>
      <c r="D10" s="176"/>
      <c r="E10" s="176"/>
      <c r="F10" s="177">
        <f t="shared" si="1"/>
        <v>997.5</v>
      </c>
    </row>
    <row r="11" ht="13.5" customHeight="1">
      <c r="A11" s="174">
        <v>43687.0</v>
      </c>
      <c r="B11" s="178">
        <f>(1190+3004+2000)/2</f>
        <v>3097</v>
      </c>
      <c r="C11" s="176"/>
      <c r="D11" s="175"/>
      <c r="E11" s="175"/>
      <c r="F11" s="177">
        <f t="shared" si="1"/>
        <v>3097</v>
      </c>
    </row>
    <row r="12" ht="13.5" customHeight="1">
      <c r="A12" s="174">
        <v>43688.0</v>
      </c>
      <c r="B12" s="178">
        <f>(772+149+162+1850)/2</f>
        <v>1466.5</v>
      </c>
      <c r="C12" s="175">
        <v>1500.0</v>
      </c>
      <c r="D12" s="176"/>
      <c r="E12" s="175">
        <v>300.0</v>
      </c>
      <c r="F12" s="177">
        <f t="shared" si="1"/>
        <v>3266.5</v>
      </c>
    </row>
    <row r="13" ht="13.5" customHeight="1">
      <c r="A13" s="174">
        <v>43689.0</v>
      </c>
      <c r="B13" s="178">
        <f>(1080+1400)/2</f>
        <v>1240</v>
      </c>
      <c r="C13" s="176"/>
      <c r="D13" s="176"/>
      <c r="E13" s="178">
        <f>1080/2</f>
        <v>540</v>
      </c>
      <c r="F13" s="177">
        <f t="shared" si="1"/>
        <v>1780</v>
      </c>
    </row>
    <row r="14" ht="13.5" customHeight="1">
      <c r="A14" s="174">
        <v>43690.0</v>
      </c>
      <c r="B14" s="178">
        <f>(521+1000+110)/2</f>
        <v>815.5</v>
      </c>
      <c r="C14" s="176"/>
      <c r="D14" s="176"/>
      <c r="E14" s="175">
        <v>337.0</v>
      </c>
      <c r="F14" s="177">
        <f t="shared" si="1"/>
        <v>1152.5</v>
      </c>
    </row>
    <row r="15" ht="13.5" customHeight="1">
      <c r="A15" s="174">
        <v>43691.0</v>
      </c>
      <c r="B15" s="178">
        <f>(1706+1950+338)/2</f>
        <v>1997</v>
      </c>
      <c r="C15" s="176"/>
      <c r="D15" s="176"/>
      <c r="E15" s="176"/>
      <c r="F15" s="177">
        <f t="shared" si="1"/>
        <v>1997</v>
      </c>
    </row>
    <row r="16" ht="13.5" customHeight="1">
      <c r="A16" s="174">
        <v>43692.0</v>
      </c>
      <c r="B16" s="178">
        <f>1600/2</f>
        <v>800</v>
      </c>
      <c r="C16" s="176"/>
      <c r="D16" s="176"/>
      <c r="E16" s="175">
        <v>432.0</v>
      </c>
      <c r="F16" s="177">
        <f t="shared" si="1"/>
        <v>1232</v>
      </c>
    </row>
    <row r="17" ht="13.5" customHeight="1">
      <c r="A17" s="174">
        <v>43693.0</v>
      </c>
      <c r="B17" s="178">
        <f>(163+164+1880+3188)/2</f>
        <v>2697.5</v>
      </c>
      <c r="C17" s="176"/>
      <c r="D17" s="176"/>
      <c r="E17" s="176"/>
      <c r="F17" s="177">
        <f t="shared" si="1"/>
        <v>2697.5</v>
      </c>
    </row>
    <row r="18" ht="13.5" customHeight="1">
      <c r="A18" s="174">
        <v>43694.0</v>
      </c>
      <c r="B18" s="178">
        <f>(1195+108)/2</f>
        <v>651.5</v>
      </c>
      <c r="C18" s="176"/>
      <c r="D18" s="176"/>
      <c r="E18" s="176"/>
      <c r="F18" s="177">
        <f t="shared" si="1"/>
        <v>651.5</v>
      </c>
    </row>
    <row r="19" ht="13.5" customHeight="1">
      <c r="A19" s="174">
        <v>43695.0</v>
      </c>
      <c r="B19" s="178">
        <f>(1760+103+1798)/2</f>
        <v>1830.5</v>
      </c>
      <c r="C19" s="176"/>
      <c r="D19" s="176"/>
      <c r="E19" s="175"/>
      <c r="F19" s="177">
        <f t="shared" si="1"/>
        <v>1830.5</v>
      </c>
    </row>
    <row r="20" ht="13.5" customHeight="1">
      <c r="A20" s="174">
        <v>43696.0</v>
      </c>
      <c r="B20" s="202">
        <f>2137*0.5</f>
        <v>1068.5</v>
      </c>
      <c r="C20" s="176"/>
      <c r="D20" s="175"/>
      <c r="E20" s="175"/>
      <c r="F20" s="177">
        <f t="shared" si="1"/>
        <v>1068.5</v>
      </c>
    </row>
    <row r="21" ht="13.5" customHeight="1">
      <c r="A21" s="174">
        <v>43697.0</v>
      </c>
      <c r="B21" s="178">
        <f>(335+3888+302)/2</f>
        <v>2262.5</v>
      </c>
      <c r="C21" s="176"/>
      <c r="D21" s="176"/>
      <c r="E21" s="176"/>
      <c r="F21" s="177">
        <f t="shared" si="1"/>
        <v>2262.5</v>
      </c>
    </row>
    <row r="22" ht="13.5" customHeight="1">
      <c r="A22" s="174">
        <v>43698.0</v>
      </c>
      <c r="B22" s="178">
        <f>2592/2</f>
        <v>1296</v>
      </c>
      <c r="C22" s="175">
        <v>2000.0</v>
      </c>
      <c r="D22" s="176"/>
      <c r="E22" s="176"/>
      <c r="F22" s="177">
        <f t="shared" si="1"/>
        <v>3296</v>
      </c>
    </row>
    <row r="23" ht="13.5" customHeight="1">
      <c r="A23" s="174">
        <v>43699.0</v>
      </c>
      <c r="B23" s="175">
        <v>587.0</v>
      </c>
      <c r="C23" s="176"/>
      <c r="D23" s="176"/>
      <c r="E23" s="176"/>
      <c r="F23" s="177">
        <f t="shared" si="1"/>
        <v>587</v>
      </c>
    </row>
    <row r="24" ht="13.5" customHeight="1">
      <c r="A24" s="174">
        <v>43700.0</v>
      </c>
      <c r="B24" s="176">
        <f>250+900</f>
        <v>1150</v>
      </c>
      <c r="C24" s="176"/>
      <c r="D24" s="176"/>
      <c r="E24" s="176"/>
      <c r="F24" s="177">
        <f t="shared" si="1"/>
        <v>1150</v>
      </c>
    </row>
    <row r="25" ht="13.5" customHeight="1">
      <c r="A25" s="174">
        <v>43701.0</v>
      </c>
      <c r="B25" s="175">
        <f>1480+129</f>
        <v>1609</v>
      </c>
      <c r="C25" s="176"/>
      <c r="D25" s="176"/>
      <c r="E25" s="176"/>
      <c r="F25" s="177">
        <f t="shared" si="1"/>
        <v>1609</v>
      </c>
    </row>
    <row r="26" ht="13.5" customHeight="1">
      <c r="A26" s="174">
        <v>43702.0</v>
      </c>
      <c r="B26" s="175">
        <v>862.0</v>
      </c>
      <c r="C26" s="176"/>
      <c r="D26" s="176"/>
      <c r="E26" s="175">
        <v>861.0</v>
      </c>
      <c r="F26" s="177">
        <f t="shared" si="1"/>
        <v>1723</v>
      </c>
    </row>
    <row r="27" ht="13.5" customHeight="1">
      <c r="A27" s="174">
        <v>43703.0</v>
      </c>
      <c r="B27" s="175">
        <v>540.0</v>
      </c>
      <c r="C27" s="176"/>
      <c r="D27" s="176"/>
      <c r="E27" s="176">
        <f>66*16</f>
        <v>1056</v>
      </c>
      <c r="F27" s="177">
        <f t="shared" si="1"/>
        <v>1596</v>
      </c>
    </row>
    <row r="28" ht="13.5" customHeight="1">
      <c r="A28" s="174">
        <v>43704.0</v>
      </c>
      <c r="B28" s="175">
        <f>1047+827+100</f>
        <v>1974</v>
      </c>
      <c r="C28" s="176"/>
      <c r="D28" s="176"/>
      <c r="E28" s="175">
        <v>840.0</v>
      </c>
      <c r="F28" s="177">
        <f t="shared" si="1"/>
        <v>2814</v>
      </c>
    </row>
    <row r="29" ht="13.5" customHeight="1">
      <c r="A29" s="174">
        <v>43705.0</v>
      </c>
      <c r="B29" s="175">
        <f>756+906</f>
        <v>1662</v>
      </c>
      <c r="C29" s="176"/>
      <c r="D29" s="176"/>
      <c r="E29" s="175">
        <v>1300.0</v>
      </c>
      <c r="F29" s="177">
        <f t="shared" si="1"/>
        <v>2962</v>
      </c>
    </row>
    <row r="30" ht="13.5" customHeight="1">
      <c r="A30" s="174">
        <v>43706.0</v>
      </c>
      <c r="B30" s="175">
        <f>1650+108</f>
        <v>1758</v>
      </c>
      <c r="C30" s="176"/>
      <c r="D30" s="176"/>
      <c r="E30" s="175">
        <f>1200+307</f>
        <v>1507</v>
      </c>
      <c r="F30" s="177">
        <f t="shared" si="1"/>
        <v>3265</v>
      </c>
    </row>
    <row r="31" ht="13.5" customHeight="1">
      <c r="A31" s="174">
        <v>43707.0</v>
      </c>
      <c r="B31" s="175">
        <v>501.0</v>
      </c>
      <c r="C31" s="176"/>
      <c r="D31" s="176"/>
      <c r="E31" s="175">
        <v>1812.0</v>
      </c>
      <c r="F31" s="177">
        <f t="shared" si="1"/>
        <v>2313</v>
      </c>
    </row>
    <row r="32" ht="13.5" customHeight="1">
      <c r="A32" s="174">
        <v>43708.0</v>
      </c>
      <c r="B32" s="175">
        <f>432+576</f>
        <v>1008</v>
      </c>
      <c r="C32" s="179">
        <f>(5490+13080+3800)/2</f>
        <v>11185</v>
      </c>
      <c r="D32" s="179">
        <f>3980/2</f>
        <v>1990</v>
      </c>
      <c r="E32" s="176">
        <f>59000+2300*2+(1680+699+1020+2000)+135*16+296*16+4264</f>
        <v>80159</v>
      </c>
      <c r="F32" s="177">
        <f t="shared" si="1"/>
        <v>94342</v>
      </c>
    </row>
    <row r="33" ht="13.5" customHeight="1">
      <c r="A33" s="182" t="s">
        <v>399</v>
      </c>
      <c r="B33" s="177">
        <f t="shared" ref="B33:E33" si="2">SUM(B2:B32)</f>
        <v>47215.5</v>
      </c>
      <c r="C33" s="177">
        <f t="shared" si="2"/>
        <v>15885</v>
      </c>
      <c r="D33" s="177">
        <f t="shared" si="2"/>
        <v>14521</v>
      </c>
      <c r="E33" s="177">
        <f t="shared" si="2"/>
        <v>99302</v>
      </c>
      <c r="F33" s="177">
        <f t="shared" si="1"/>
        <v>176923.5</v>
      </c>
    </row>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row>
    <row r="2" ht="13.5" customHeight="1">
      <c r="A2" s="174">
        <v>43647.0</v>
      </c>
      <c r="B2" s="175">
        <v>522.0</v>
      </c>
      <c r="C2" s="176"/>
      <c r="D2" s="176"/>
      <c r="E2" s="175"/>
      <c r="F2" s="177">
        <f t="shared" ref="F2:F33" si="1">SUM(B2:E2)</f>
        <v>522</v>
      </c>
    </row>
    <row r="3" ht="13.5" customHeight="1">
      <c r="A3" s="174">
        <v>43648.0</v>
      </c>
      <c r="B3" s="175"/>
      <c r="C3" s="176"/>
      <c r="D3" s="176"/>
      <c r="E3" s="175"/>
      <c r="F3" s="177">
        <f t="shared" si="1"/>
        <v>0</v>
      </c>
    </row>
    <row r="4" ht="13.5" customHeight="1">
      <c r="A4" s="174">
        <v>43649.0</v>
      </c>
      <c r="B4" s="175">
        <f>560+831</f>
        <v>1391</v>
      </c>
      <c r="C4" s="176"/>
      <c r="D4" s="175">
        <v>216.0</v>
      </c>
      <c r="E4" s="176"/>
      <c r="F4" s="177">
        <f t="shared" si="1"/>
        <v>1607</v>
      </c>
    </row>
    <row r="5" ht="13.5" customHeight="1">
      <c r="A5" s="174">
        <v>43650.0</v>
      </c>
      <c r="B5" s="175">
        <f>650+1342</f>
        <v>1992</v>
      </c>
      <c r="C5" s="176"/>
      <c r="D5" s="176"/>
      <c r="E5" s="176"/>
      <c r="F5" s="177">
        <f t="shared" si="1"/>
        <v>1992</v>
      </c>
    </row>
    <row r="6" ht="13.5" customHeight="1">
      <c r="A6" s="174">
        <v>43651.0</v>
      </c>
      <c r="B6" s="175">
        <f>890+969</f>
        <v>1859</v>
      </c>
      <c r="C6" s="176"/>
      <c r="D6" s="176"/>
      <c r="E6" s="176"/>
      <c r="F6" s="177">
        <f t="shared" si="1"/>
        <v>1859</v>
      </c>
    </row>
    <row r="7" ht="13.5" customHeight="1">
      <c r="A7" s="174">
        <v>43652.0</v>
      </c>
      <c r="B7" s="175">
        <v>538.0</v>
      </c>
      <c r="C7" s="176"/>
      <c r="D7" s="176"/>
      <c r="E7" s="176"/>
      <c r="F7" s="177">
        <f t="shared" si="1"/>
        <v>538</v>
      </c>
    </row>
    <row r="8" ht="13.5" customHeight="1">
      <c r="A8" s="174">
        <v>43653.0</v>
      </c>
      <c r="B8" s="175">
        <f>993+980</f>
        <v>1973</v>
      </c>
      <c r="C8" s="175"/>
      <c r="D8" s="176"/>
      <c r="E8" s="176"/>
      <c r="F8" s="177">
        <f t="shared" si="1"/>
        <v>1973</v>
      </c>
    </row>
    <row r="9" ht="13.5" customHeight="1">
      <c r="A9" s="174">
        <v>43654.0</v>
      </c>
      <c r="B9" s="175">
        <v>532.0</v>
      </c>
      <c r="C9" s="176"/>
      <c r="D9" s="176"/>
      <c r="E9" s="176"/>
      <c r="F9" s="177">
        <f t="shared" si="1"/>
        <v>532</v>
      </c>
    </row>
    <row r="10" ht="13.5" customHeight="1">
      <c r="A10" s="174">
        <v>43655.0</v>
      </c>
      <c r="B10" s="175">
        <f>1075+513</f>
        <v>1588</v>
      </c>
      <c r="C10" s="176"/>
      <c r="D10" s="176"/>
      <c r="E10" s="175">
        <v>100.0</v>
      </c>
      <c r="F10" s="177">
        <f t="shared" si="1"/>
        <v>1688</v>
      </c>
    </row>
    <row r="11" ht="13.5" customHeight="1">
      <c r="A11" s="174">
        <v>43656.0</v>
      </c>
      <c r="B11" s="175">
        <v>690.0</v>
      </c>
      <c r="C11" s="176"/>
      <c r="D11" s="175"/>
      <c r="E11" s="175"/>
      <c r="F11" s="177">
        <f t="shared" si="1"/>
        <v>690</v>
      </c>
    </row>
    <row r="12" ht="13.5" customHeight="1">
      <c r="A12" s="174">
        <v>43657.0</v>
      </c>
      <c r="B12" s="175"/>
      <c r="C12" s="175"/>
      <c r="D12" s="176"/>
      <c r="E12" s="176"/>
      <c r="F12" s="177">
        <f t="shared" si="1"/>
        <v>0</v>
      </c>
    </row>
    <row r="13" ht="13.5" customHeight="1">
      <c r="A13" s="174">
        <v>43658.0</v>
      </c>
      <c r="B13" s="175">
        <f>151+950+1577</f>
        <v>2678</v>
      </c>
      <c r="C13" s="176"/>
      <c r="D13" s="176"/>
      <c r="E13" s="176"/>
      <c r="F13" s="177">
        <f t="shared" si="1"/>
        <v>2678</v>
      </c>
    </row>
    <row r="14" ht="13.5" customHeight="1">
      <c r="A14" s="174">
        <v>43659.0</v>
      </c>
      <c r="B14" s="175"/>
      <c r="C14" s="176"/>
      <c r="D14" s="176"/>
      <c r="E14" s="176"/>
      <c r="F14" s="177">
        <f t="shared" si="1"/>
        <v>0</v>
      </c>
    </row>
    <row r="15" ht="13.5" customHeight="1">
      <c r="A15" s="174">
        <v>43660.0</v>
      </c>
      <c r="B15" s="175">
        <v>644.0</v>
      </c>
      <c r="C15" s="176"/>
      <c r="D15" s="176"/>
      <c r="E15" s="176"/>
      <c r="F15" s="177">
        <f t="shared" si="1"/>
        <v>644</v>
      </c>
    </row>
    <row r="16" ht="13.5" customHeight="1">
      <c r="A16" s="174">
        <v>43661.0</v>
      </c>
      <c r="B16" s="175"/>
      <c r="C16" s="176"/>
      <c r="D16" s="176"/>
      <c r="E16" s="176"/>
      <c r="F16" s="177">
        <f t="shared" si="1"/>
        <v>0</v>
      </c>
    </row>
    <row r="17" ht="13.5" customHeight="1">
      <c r="A17" s="174">
        <v>43662.0</v>
      </c>
      <c r="B17" s="175">
        <v>490.0</v>
      </c>
      <c r="C17" s="176"/>
      <c r="D17" s="176"/>
      <c r="E17" s="176"/>
      <c r="F17" s="177">
        <f t="shared" si="1"/>
        <v>490</v>
      </c>
    </row>
    <row r="18" ht="13.5" customHeight="1">
      <c r="A18" s="174">
        <v>43663.0</v>
      </c>
      <c r="B18" s="175">
        <f>1850+1090</f>
        <v>2940</v>
      </c>
      <c r="C18" s="176"/>
      <c r="D18" s="176"/>
      <c r="E18" s="176"/>
      <c r="F18" s="177">
        <f t="shared" si="1"/>
        <v>2940</v>
      </c>
    </row>
    <row r="19" ht="13.5" customHeight="1">
      <c r="A19" s="174">
        <v>43664.0</v>
      </c>
      <c r="B19" s="175">
        <f>180+198</f>
        <v>378</v>
      </c>
      <c r="C19" s="176"/>
      <c r="D19" s="176"/>
      <c r="E19" s="175"/>
      <c r="F19" s="177">
        <f t="shared" si="1"/>
        <v>378</v>
      </c>
    </row>
    <row r="20" ht="13.5" customHeight="1">
      <c r="A20" s="174">
        <v>43665.0</v>
      </c>
      <c r="B20" s="175">
        <v>545.0</v>
      </c>
      <c r="C20" s="176"/>
      <c r="D20" s="175"/>
      <c r="E20" s="175"/>
      <c r="F20" s="177">
        <f t="shared" si="1"/>
        <v>545</v>
      </c>
    </row>
    <row r="21" ht="13.5" customHeight="1">
      <c r="A21" s="174">
        <v>43666.0</v>
      </c>
      <c r="B21" s="175">
        <v>865.0</v>
      </c>
      <c r="C21" s="176"/>
      <c r="D21" s="176"/>
      <c r="E21" s="176"/>
      <c r="F21" s="177">
        <f t="shared" si="1"/>
        <v>865</v>
      </c>
    </row>
    <row r="22" ht="13.5" customHeight="1">
      <c r="A22" s="174">
        <v>43667.0</v>
      </c>
      <c r="B22" s="175">
        <v>532.0</v>
      </c>
      <c r="C22" s="176"/>
      <c r="D22" s="176"/>
      <c r="E22" s="176"/>
      <c r="F22" s="177">
        <f t="shared" si="1"/>
        <v>532</v>
      </c>
    </row>
    <row r="23" ht="13.5" customHeight="1">
      <c r="A23" s="174">
        <v>43668.0</v>
      </c>
      <c r="B23" s="175">
        <f>432+264</f>
        <v>696</v>
      </c>
      <c r="C23" s="176"/>
      <c r="D23" s="176"/>
      <c r="E23" s="176"/>
      <c r="F23" s="177">
        <f t="shared" si="1"/>
        <v>696</v>
      </c>
    </row>
    <row r="24" ht="13.5" customHeight="1">
      <c r="A24" s="174">
        <v>43669.0</v>
      </c>
      <c r="B24" s="175">
        <f>518+324</f>
        <v>842</v>
      </c>
      <c r="C24" s="176"/>
      <c r="D24" s="176"/>
      <c r="E24" s="176"/>
      <c r="F24" s="177">
        <f t="shared" si="1"/>
        <v>842</v>
      </c>
    </row>
    <row r="25" ht="13.5" customHeight="1">
      <c r="A25" s="174">
        <v>43670.0</v>
      </c>
      <c r="B25" s="175">
        <v>935.0</v>
      </c>
      <c r="C25" s="176"/>
      <c r="D25" s="175">
        <v>1780.0</v>
      </c>
      <c r="E25" s="176"/>
      <c r="F25" s="177">
        <f t="shared" si="1"/>
        <v>2715</v>
      </c>
    </row>
    <row r="26" ht="13.5" customHeight="1">
      <c r="A26" s="174">
        <v>43671.0</v>
      </c>
      <c r="B26" s="175">
        <v>587.0</v>
      </c>
      <c r="C26" s="176"/>
      <c r="D26" s="175">
        <v>1680.0</v>
      </c>
      <c r="E26" s="176"/>
      <c r="F26" s="177">
        <f t="shared" si="1"/>
        <v>2267</v>
      </c>
    </row>
    <row r="27" ht="13.5" customHeight="1">
      <c r="A27" s="174">
        <v>43672.0</v>
      </c>
      <c r="B27" s="175">
        <f>(1829+120+1020)+378</f>
        <v>3347</v>
      </c>
      <c r="C27" s="176"/>
      <c r="D27" s="176"/>
      <c r="E27" s="175">
        <v>1600.0</v>
      </c>
      <c r="F27" s="177">
        <f t="shared" si="1"/>
        <v>4947</v>
      </c>
    </row>
    <row r="28" ht="13.5" customHeight="1">
      <c r="A28" s="174">
        <v>43673.0</v>
      </c>
      <c r="B28" s="176"/>
      <c r="C28" s="176"/>
      <c r="D28" s="176"/>
      <c r="E28" s="176"/>
      <c r="F28" s="177">
        <f t="shared" si="1"/>
        <v>0</v>
      </c>
    </row>
    <row r="29" ht="13.5" customHeight="1">
      <c r="A29" s="174">
        <v>43674.0</v>
      </c>
      <c r="B29" s="175">
        <v>395.0</v>
      </c>
      <c r="C29" s="176"/>
      <c r="D29" s="176"/>
      <c r="E29" s="176"/>
      <c r="F29" s="177">
        <f t="shared" si="1"/>
        <v>395</v>
      </c>
    </row>
    <row r="30" ht="13.5" customHeight="1">
      <c r="A30" s="174">
        <v>43675.0</v>
      </c>
      <c r="B30" s="175">
        <v>533.0</v>
      </c>
      <c r="C30" s="176"/>
      <c r="D30" s="175"/>
      <c r="E30" s="176"/>
      <c r="F30" s="177">
        <f t="shared" si="1"/>
        <v>533</v>
      </c>
    </row>
    <row r="31" ht="13.5" customHeight="1">
      <c r="A31" s="174">
        <v>43676.0</v>
      </c>
      <c r="B31" s="175">
        <f>604+859</f>
        <v>1463</v>
      </c>
      <c r="C31" s="176"/>
      <c r="D31" s="176"/>
      <c r="E31" s="176"/>
      <c r="F31" s="177">
        <f t="shared" si="1"/>
        <v>1463</v>
      </c>
    </row>
    <row r="32" ht="13.5" customHeight="1">
      <c r="A32" s="174">
        <v>43677.0</v>
      </c>
      <c r="B32" s="176"/>
      <c r="C32" s="176"/>
      <c r="D32" s="175">
        <v>864.0</v>
      </c>
      <c r="E32" s="175">
        <f>59000+6220+5500+4192</f>
        <v>74912</v>
      </c>
      <c r="F32" s="177">
        <f t="shared" si="1"/>
        <v>75776</v>
      </c>
    </row>
    <row r="33" ht="13.5" customHeight="1">
      <c r="A33" s="182" t="s">
        <v>399</v>
      </c>
      <c r="B33" s="177">
        <f t="shared" ref="B33:E33" si="2">SUM(B2:B32)</f>
        <v>28955</v>
      </c>
      <c r="C33" s="177">
        <f t="shared" si="2"/>
        <v>0</v>
      </c>
      <c r="D33" s="177">
        <f t="shared" si="2"/>
        <v>4540</v>
      </c>
      <c r="E33" s="177">
        <f t="shared" si="2"/>
        <v>76612</v>
      </c>
      <c r="F33" s="177">
        <f t="shared" si="1"/>
        <v>110107</v>
      </c>
    </row>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row>
    <row r="2" ht="13.5" customHeight="1">
      <c r="A2" s="174">
        <v>43617.0</v>
      </c>
      <c r="B2" s="175">
        <v>900.0</v>
      </c>
      <c r="C2" s="176"/>
      <c r="D2" s="176"/>
      <c r="E2" s="175"/>
      <c r="F2" s="177">
        <f t="shared" ref="F2:F32" si="1">SUM(B2:E2)</f>
        <v>900</v>
      </c>
    </row>
    <row r="3" ht="13.5" customHeight="1">
      <c r="A3" s="174">
        <v>43618.0</v>
      </c>
      <c r="B3" s="175">
        <v>738.0</v>
      </c>
      <c r="C3" s="176"/>
      <c r="D3" s="175">
        <v>2877.0</v>
      </c>
      <c r="E3" s="175"/>
      <c r="F3" s="177">
        <f t="shared" si="1"/>
        <v>3615</v>
      </c>
    </row>
    <row r="4" ht="13.5" customHeight="1">
      <c r="A4" s="174">
        <v>43619.0</v>
      </c>
      <c r="B4" s="175">
        <v>484.0</v>
      </c>
      <c r="C4" s="176"/>
      <c r="D4" s="176"/>
      <c r="E4" s="176"/>
      <c r="F4" s="177">
        <f t="shared" si="1"/>
        <v>484</v>
      </c>
    </row>
    <row r="5" ht="13.5" customHeight="1">
      <c r="A5" s="174">
        <v>43620.0</v>
      </c>
      <c r="B5" s="175"/>
      <c r="C5" s="176"/>
      <c r="D5" s="176"/>
      <c r="E5" s="176"/>
      <c r="F5" s="177">
        <f t="shared" si="1"/>
        <v>0</v>
      </c>
    </row>
    <row r="6" ht="13.5" customHeight="1">
      <c r="A6" s="174">
        <v>43621.0</v>
      </c>
      <c r="B6" s="175"/>
      <c r="C6" s="176"/>
      <c r="D6" s="176"/>
      <c r="E6" s="176"/>
      <c r="F6" s="177">
        <f t="shared" si="1"/>
        <v>0</v>
      </c>
    </row>
    <row r="7" ht="13.5" customHeight="1">
      <c r="A7" s="174">
        <v>43622.0</v>
      </c>
      <c r="B7" s="175">
        <v>213.0</v>
      </c>
      <c r="C7" s="176"/>
      <c r="D7" s="176"/>
      <c r="E7" s="176"/>
      <c r="F7" s="177">
        <f t="shared" si="1"/>
        <v>213</v>
      </c>
    </row>
    <row r="8" ht="13.5" customHeight="1">
      <c r="A8" s="174">
        <v>43623.0</v>
      </c>
      <c r="B8" s="176"/>
      <c r="C8" s="175"/>
      <c r="D8" s="176"/>
      <c r="E8" s="176"/>
      <c r="F8" s="177">
        <f t="shared" si="1"/>
        <v>0</v>
      </c>
    </row>
    <row r="9" ht="13.5" customHeight="1">
      <c r="A9" s="174">
        <v>43624.0</v>
      </c>
      <c r="B9" s="175"/>
      <c r="C9" s="176"/>
      <c r="D9" s="176"/>
      <c r="E9" s="176"/>
      <c r="F9" s="177">
        <f t="shared" si="1"/>
        <v>0</v>
      </c>
    </row>
    <row r="10" ht="13.5" customHeight="1">
      <c r="A10" s="174">
        <v>43625.0</v>
      </c>
      <c r="B10" s="175">
        <v>1574.0</v>
      </c>
      <c r="C10" s="176"/>
      <c r="D10" s="176"/>
      <c r="E10" s="175">
        <v>108.0</v>
      </c>
      <c r="F10" s="177">
        <f t="shared" si="1"/>
        <v>1682</v>
      </c>
    </row>
    <row r="11" ht="13.5" customHeight="1">
      <c r="A11" s="174">
        <v>43626.0</v>
      </c>
      <c r="B11" s="175"/>
      <c r="C11" s="176"/>
      <c r="D11" s="175"/>
      <c r="E11" s="175"/>
      <c r="F11" s="177">
        <f t="shared" si="1"/>
        <v>0</v>
      </c>
    </row>
    <row r="12" ht="13.5" customHeight="1">
      <c r="A12" s="174">
        <v>43627.0</v>
      </c>
      <c r="B12" s="175"/>
      <c r="C12" s="175"/>
      <c r="D12" s="176"/>
      <c r="E12" s="175">
        <v>1569.0</v>
      </c>
      <c r="F12" s="177">
        <f t="shared" si="1"/>
        <v>1569</v>
      </c>
    </row>
    <row r="13" ht="13.5" customHeight="1">
      <c r="A13" s="174">
        <v>43628.0</v>
      </c>
      <c r="B13" s="175">
        <f>220+332+140+1780+1350</f>
        <v>3822</v>
      </c>
      <c r="C13" s="176"/>
      <c r="D13" s="176"/>
      <c r="E13" s="175">
        <f>216+108+600</f>
        <v>924</v>
      </c>
      <c r="F13" s="177">
        <f t="shared" si="1"/>
        <v>4746</v>
      </c>
    </row>
    <row r="14" ht="13.5" customHeight="1">
      <c r="A14" s="174">
        <v>43629.0</v>
      </c>
      <c r="B14" s="175">
        <f>730+900</f>
        <v>1630</v>
      </c>
      <c r="C14" s="176"/>
      <c r="D14" s="176"/>
      <c r="E14" s="176">
        <f>1680+510</f>
        <v>2190</v>
      </c>
      <c r="F14" s="177">
        <f t="shared" si="1"/>
        <v>3820</v>
      </c>
    </row>
    <row r="15" ht="13.5" customHeight="1">
      <c r="A15" s="174">
        <v>43630.0</v>
      </c>
      <c r="B15" s="175">
        <f>108+192+3300</f>
        <v>3600</v>
      </c>
      <c r="C15" s="176">
        <f>210*4</f>
        <v>840</v>
      </c>
      <c r="D15" s="176"/>
      <c r="E15" s="176"/>
      <c r="F15" s="177">
        <f t="shared" si="1"/>
        <v>4440</v>
      </c>
    </row>
    <row r="16" ht="13.5" customHeight="1">
      <c r="A16" s="174">
        <v>43631.0</v>
      </c>
      <c r="B16" s="178">
        <f>0.5*(3900)</f>
        <v>1950</v>
      </c>
      <c r="C16" s="176"/>
      <c r="D16" s="176"/>
      <c r="E16" s="178">
        <f>0.5*(900)</f>
        <v>450</v>
      </c>
      <c r="F16" s="177">
        <f t="shared" si="1"/>
        <v>2400</v>
      </c>
    </row>
    <row r="17" ht="13.5" customHeight="1">
      <c r="A17" s="174">
        <v>43632.0</v>
      </c>
      <c r="B17" s="178">
        <f>0.5*(620+730+1523)</f>
        <v>1436.5</v>
      </c>
      <c r="C17" s="175">
        <v>2000.0</v>
      </c>
      <c r="D17" s="176"/>
      <c r="E17" s="176"/>
      <c r="F17" s="177">
        <f t="shared" si="1"/>
        <v>3436.5</v>
      </c>
    </row>
    <row r="18" ht="13.5" customHeight="1">
      <c r="A18" s="174">
        <v>43633.0</v>
      </c>
      <c r="B18" s="178">
        <f>0.5*(138+944+624+1870)</f>
        <v>1788</v>
      </c>
      <c r="C18" s="176"/>
      <c r="D18" s="176"/>
      <c r="E18" s="176"/>
      <c r="F18" s="177">
        <f t="shared" si="1"/>
        <v>1788</v>
      </c>
    </row>
    <row r="19" ht="13.5" customHeight="1">
      <c r="A19" s="174">
        <v>43634.0</v>
      </c>
      <c r="B19" s="178">
        <f>0.5*(890+890+611+99)</f>
        <v>1245</v>
      </c>
      <c r="C19" s="176"/>
      <c r="D19" s="176"/>
      <c r="E19" s="175"/>
      <c r="F19" s="177">
        <f t="shared" si="1"/>
        <v>1245</v>
      </c>
    </row>
    <row r="20" ht="13.5" customHeight="1">
      <c r="A20" s="174">
        <v>43635.0</v>
      </c>
      <c r="B20" s="178">
        <f>0.5*(1064+164+482+1800)</f>
        <v>1755</v>
      </c>
      <c r="C20" s="176"/>
      <c r="D20" s="175"/>
      <c r="E20" s="175"/>
      <c r="F20" s="177">
        <f t="shared" si="1"/>
        <v>1755</v>
      </c>
    </row>
    <row r="21" ht="13.5" customHeight="1">
      <c r="A21" s="174">
        <v>43636.0</v>
      </c>
      <c r="B21" s="175">
        <v>208.0</v>
      </c>
      <c r="C21" s="176"/>
      <c r="D21" s="176"/>
      <c r="E21" s="176"/>
      <c r="F21" s="177">
        <f t="shared" si="1"/>
        <v>208</v>
      </c>
    </row>
    <row r="22" ht="13.5" customHeight="1">
      <c r="A22" s="174">
        <v>43637.0</v>
      </c>
      <c r="B22" s="175">
        <f>712+518</f>
        <v>1230</v>
      </c>
      <c r="C22" s="176"/>
      <c r="D22" s="176"/>
      <c r="E22" s="176"/>
      <c r="F22" s="177">
        <f t="shared" si="1"/>
        <v>1230</v>
      </c>
    </row>
    <row r="23" ht="13.5" customHeight="1">
      <c r="A23" s="174">
        <v>43638.0</v>
      </c>
      <c r="B23" s="175">
        <v>1533.0</v>
      </c>
      <c r="C23" s="176"/>
      <c r="D23" s="176"/>
      <c r="E23" s="176"/>
      <c r="F23" s="177">
        <f t="shared" si="1"/>
        <v>1533</v>
      </c>
    </row>
    <row r="24" ht="13.5" customHeight="1">
      <c r="A24" s="174">
        <v>43639.0</v>
      </c>
      <c r="B24" s="175">
        <v>948.0</v>
      </c>
      <c r="C24" s="176"/>
      <c r="D24" s="176"/>
      <c r="E24" s="176"/>
      <c r="F24" s="177">
        <f t="shared" si="1"/>
        <v>948</v>
      </c>
    </row>
    <row r="25" ht="13.5" customHeight="1">
      <c r="A25" s="174">
        <v>43640.0</v>
      </c>
      <c r="B25" s="176"/>
      <c r="C25" s="176"/>
      <c r="D25" s="176"/>
      <c r="E25" s="176"/>
      <c r="F25" s="177">
        <f t="shared" si="1"/>
        <v>0</v>
      </c>
    </row>
    <row r="26" ht="13.5" customHeight="1">
      <c r="A26" s="174">
        <v>43641.0</v>
      </c>
      <c r="B26" s="175">
        <v>901.0</v>
      </c>
      <c r="C26" s="176"/>
      <c r="D26" s="176"/>
      <c r="E26" s="175">
        <v>100.0</v>
      </c>
      <c r="F26" s="177">
        <f t="shared" si="1"/>
        <v>1001</v>
      </c>
    </row>
    <row r="27" ht="13.5" customHeight="1">
      <c r="A27" s="174">
        <v>43642.0</v>
      </c>
      <c r="B27" s="175">
        <f>2138+650</f>
        <v>2788</v>
      </c>
      <c r="C27" s="176"/>
      <c r="D27" s="176"/>
      <c r="E27" s="175">
        <v>108.0</v>
      </c>
      <c r="F27" s="177">
        <f t="shared" si="1"/>
        <v>2896</v>
      </c>
    </row>
    <row r="28" ht="13.5" customHeight="1">
      <c r="A28" s="174">
        <v>43643.0</v>
      </c>
      <c r="B28" s="175">
        <v>604.0</v>
      </c>
      <c r="C28" s="176"/>
      <c r="D28" s="176"/>
      <c r="E28" s="176"/>
      <c r="F28" s="177">
        <f t="shared" si="1"/>
        <v>604</v>
      </c>
    </row>
    <row r="29" ht="13.5" customHeight="1">
      <c r="A29" s="174">
        <v>43644.0</v>
      </c>
      <c r="B29" s="175">
        <v>790.0</v>
      </c>
      <c r="C29" s="176"/>
      <c r="D29" s="176"/>
      <c r="E29" s="176"/>
      <c r="F29" s="177">
        <f t="shared" si="1"/>
        <v>790</v>
      </c>
    </row>
    <row r="30" ht="13.5" customHeight="1">
      <c r="A30" s="174">
        <v>43645.0</v>
      </c>
      <c r="B30" s="175"/>
      <c r="C30" s="176"/>
      <c r="D30" s="176"/>
      <c r="E30" s="176"/>
      <c r="F30" s="177">
        <f t="shared" si="1"/>
        <v>0</v>
      </c>
    </row>
    <row r="31" ht="13.5" customHeight="1">
      <c r="A31" s="174">
        <v>43646.0</v>
      </c>
      <c r="B31" s="175">
        <v>1381.0</v>
      </c>
      <c r="C31" s="179">
        <f>0.5*(2000+2000)</f>
        <v>2000</v>
      </c>
      <c r="D31" s="175">
        <v>108.0</v>
      </c>
      <c r="E31" s="175">
        <f>59000+4386</f>
        <v>63386</v>
      </c>
      <c r="F31" s="177">
        <f t="shared" si="1"/>
        <v>66875</v>
      </c>
    </row>
    <row r="32" ht="13.5" customHeight="1">
      <c r="A32" s="182" t="s">
        <v>399</v>
      </c>
      <c r="B32" s="177">
        <f t="shared" ref="B32:E32" si="2">SUM(B2:B31)</f>
        <v>31518.5</v>
      </c>
      <c r="C32" s="177">
        <f t="shared" si="2"/>
        <v>4840</v>
      </c>
      <c r="D32" s="177">
        <f t="shared" si="2"/>
        <v>2985</v>
      </c>
      <c r="E32" s="177">
        <f t="shared" si="2"/>
        <v>68835</v>
      </c>
      <c r="F32" s="177">
        <f t="shared" si="1"/>
        <v>108178.5</v>
      </c>
    </row>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printOptions/>
  <pageMargins bottom="0.75" footer="0.0" header="0.0" left="0.7" right="0.7" top="0.75"/>
  <pageSetup paperSize="9" orientation="portrait"/>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row>
    <row r="2" ht="13.5" customHeight="1">
      <c r="A2" s="174">
        <v>43586.0</v>
      </c>
      <c r="B2" s="178">
        <f>(100+699+645+560+620+1799.99)/2</f>
        <v>2211.995</v>
      </c>
      <c r="C2" s="176"/>
      <c r="D2" s="176"/>
      <c r="E2" s="175">
        <v>6458.0</v>
      </c>
      <c r="F2" s="177">
        <f t="shared" ref="F2:F33" si="1">SUM(B2:E2)</f>
        <v>8669.995</v>
      </c>
    </row>
    <row r="3" ht="13.5" customHeight="1">
      <c r="A3" s="174">
        <v>43587.0</v>
      </c>
      <c r="B3" s="178">
        <f>(316+1700+1067)/2</f>
        <v>1541.5</v>
      </c>
      <c r="C3" s="176"/>
      <c r="D3" s="176"/>
      <c r="E3" s="175">
        <v>861.0</v>
      </c>
      <c r="F3" s="177">
        <f t="shared" si="1"/>
        <v>2402.5</v>
      </c>
    </row>
    <row r="4" ht="13.5" customHeight="1">
      <c r="A4" s="174">
        <v>43588.0</v>
      </c>
      <c r="B4" s="178">
        <f>(530+216+500+1999.99)/2</f>
        <v>1622.995</v>
      </c>
      <c r="C4" s="176"/>
      <c r="D4" s="176"/>
      <c r="E4" s="176"/>
      <c r="F4" s="177">
        <f t="shared" si="1"/>
        <v>1622.995</v>
      </c>
    </row>
    <row r="5" ht="13.5" customHeight="1">
      <c r="A5" s="174">
        <v>43589.0</v>
      </c>
      <c r="B5" s="178">
        <f>(1300+758++1399.99)/2</f>
        <v>1728.995</v>
      </c>
      <c r="C5" s="176"/>
      <c r="D5" s="176"/>
      <c r="E5" s="176"/>
      <c r="F5" s="177">
        <f t="shared" si="1"/>
        <v>1728.995</v>
      </c>
    </row>
    <row r="6" ht="13.5" customHeight="1">
      <c r="A6" s="174">
        <v>43590.0</v>
      </c>
      <c r="B6" s="178">
        <f>(274+1600+1199.99)/2</f>
        <v>1536.995</v>
      </c>
      <c r="C6" s="176"/>
      <c r="D6" s="176"/>
      <c r="E6" s="176"/>
      <c r="F6" s="177">
        <f t="shared" si="1"/>
        <v>1536.995</v>
      </c>
    </row>
    <row r="7" ht="13.5" customHeight="1">
      <c r="A7" s="174">
        <v>43591.0</v>
      </c>
      <c r="B7" s="178">
        <f>(110+1499.99)/2</f>
        <v>804.995</v>
      </c>
      <c r="C7" s="176"/>
      <c r="D7" s="176"/>
      <c r="E7" s="176"/>
      <c r="F7" s="177">
        <f t="shared" si="1"/>
        <v>804.995</v>
      </c>
    </row>
    <row r="8" ht="13.5" customHeight="1">
      <c r="A8" s="174">
        <v>43592.0</v>
      </c>
      <c r="B8" s="176">
        <f>600</f>
        <v>600</v>
      </c>
      <c r="C8" s="175">
        <v>1000.0</v>
      </c>
      <c r="D8" s="176"/>
      <c r="E8" s="176"/>
      <c r="F8" s="177">
        <f t="shared" si="1"/>
        <v>1600</v>
      </c>
    </row>
    <row r="9" ht="13.5" customHeight="1">
      <c r="A9" s="174">
        <v>43593.0</v>
      </c>
      <c r="B9" s="175">
        <f>610+250</f>
        <v>860</v>
      </c>
      <c r="C9" s="176"/>
      <c r="D9" s="176"/>
      <c r="E9" s="176"/>
      <c r="F9" s="177">
        <f t="shared" si="1"/>
        <v>860</v>
      </c>
    </row>
    <row r="10" ht="13.5" customHeight="1">
      <c r="A10" s="174">
        <v>43594.0</v>
      </c>
      <c r="B10" s="175">
        <f>674+100+436</f>
        <v>1210</v>
      </c>
      <c r="C10" s="176"/>
      <c r="D10" s="176"/>
      <c r="E10" s="176"/>
      <c r="F10" s="177">
        <f t="shared" si="1"/>
        <v>1210</v>
      </c>
    </row>
    <row r="11" ht="13.5" customHeight="1">
      <c r="A11" s="174">
        <v>43595.0</v>
      </c>
      <c r="B11" s="175">
        <v>480.0</v>
      </c>
      <c r="C11" s="176"/>
      <c r="D11" s="175">
        <v>1188.0</v>
      </c>
      <c r="E11" s="175">
        <f>470+300</f>
        <v>770</v>
      </c>
      <c r="F11" s="177">
        <f t="shared" si="1"/>
        <v>2438</v>
      </c>
    </row>
    <row r="12" ht="13.5" customHeight="1">
      <c r="A12" s="174">
        <v>43596.0</v>
      </c>
      <c r="B12" s="175">
        <f>682+312</f>
        <v>994</v>
      </c>
      <c r="C12" s="175">
        <v>2000.0</v>
      </c>
      <c r="D12" s="176"/>
      <c r="E12" s="176"/>
      <c r="F12" s="177">
        <f t="shared" si="1"/>
        <v>2994</v>
      </c>
    </row>
    <row r="13" ht="13.5" customHeight="1">
      <c r="A13" s="174">
        <v>43597.0</v>
      </c>
      <c r="B13" s="175">
        <v>900.0</v>
      </c>
      <c r="C13" s="176"/>
      <c r="D13" s="176"/>
      <c r="E13" s="176"/>
      <c r="F13" s="177">
        <f t="shared" si="1"/>
        <v>900</v>
      </c>
    </row>
    <row r="14" ht="13.5" customHeight="1">
      <c r="A14" s="174">
        <v>43598.0</v>
      </c>
      <c r="B14" s="175">
        <v>797.0</v>
      </c>
      <c r="C14" s="176"/>
      <c r="D14" s="176"/>
      <c r="E14" s="176"/>
      <c r="F14" s="177">
        <f t="shared" si="1"/>
        <v>797</v>
      </c>
    </row>
    <row r="15" ht="13.5" customHeight="1">
      <c r="A15" s="174">
        <v>43599.0</v>
      </c>
      <c r="B15" s="176"/>
      <c r="C15" s="176"/>
      <c r="D15" s="176"/>
      <c r="E15" s="176"/>
      <c r="F15" s="177">
        <f t="shared" si="1"/>
        <v>0</v>
      </c>
    </row>
    <row r="16" ht="13.5" customHeight="1">
      <c r="A16" s="174">
        <v>43600.0</v>
      </c>
      <c r="B16" s="175">
        <f>658+2100</f>
        <v>2758</v>
      </c>
      <c r="C16" s="176"/>
      <c r="D16" s="176"/>
      <c r="E16" s="176"/>
      <c r="F16" s="177">
        <f t="shared" si="1"/>
        <v>2758</v>
      </c>
    </row>
    <row r="17" ht="13.5" customHeight="1">
      <c r="A17" s="174">
        <v>43601.0</v>
      </c>
      <c r="B17" s="175">
        <f>566+741</f>
        <v>1307</v>
      </c>
      <c r="C17" s="176"/>
      <c r="D17" s="176"/>
      <c r="E17" s="176"/>
      <c r="F17" s="177">
        <f t="shared" si="1"/>
        <v>1307</v>
      </c>
    </row>
    <row r="18" ht="13.5" customHeight="1">
      <c r="A18" s="174">
        <v>43602.0</v>
      </c>
      <c r="B18" s="175">
        <f>120+653</f>
        <v>773</v>
      </c>
      <c r="C18" s="176"/>
      <c r="D18" s="176"/>
      <c r="E18" s="176"/>
      <c r="F18" s="177">
        <f t="shared" si="1"/>
        <v>773</v>
      </c>
    </row>
    <row r="19" ht="13.5" customHeight="1">
      <c r="A19" s="174">
        <v>43603.0</v>
      </c>
      <c r="B19" s="175">
        <v>2070.0</v>
      </c>
      <c r="C19" s="176"/>
      <c r="D19" s="176"/>
      <c r="E19" s="175">
        <v>200.0</v>
      </c>
      <c r="F19" s="177">
        <f t="shared" si="1"/>
        <v>2270</v>
      </c>
    </row>
    <row r="20" ht="13.5" customHeight="1">
      <c r="A20" s="174">
        <v>43604.0</v>
      </c>
      <c r="B20" s="175">
        <v>1003.0</v>
      </c>
      <c r="C20" s="176"/>
      <c r="D20" s="175">
        <v>324.0</v>
      </c>
      <c r="E20" s="175"/>
      <c r="F20" s="177">
        <f t="shared" si="1"/>
        <v>1327</v>
      </c>
    </row>
    <row r="21" ht="13.5" customHeight="1">
      <c r="A21" s="174">
        <v>43605.0</v>
      </c>
      <c r="B21" s="175">
        <v>480.0</v>
      </c>
      <c r="C21" s="176"/>
      <c r="D21" s="176"/>
      <c r="E21" s="176"/>
      <c r="F21" s="177">
        <f t="shared" si="1"/>
        <v>480</v>
      </c>
    </row>
    <row r="22" ht="13.5" customHeight="1">
      <c r="A22" s="174">
        <v>43606.0</v>
      </c>
      <c r="B22" s="176"/>
      <c r="C22" s="176"/>
      <c r="D22" s="176"/>
      <c r="E22" s="176"/>
      <c r="F22" s="177">
        <f t="shared" si="1"/>
        <v>0</v>
      </c>
    </row>
    <row r="23" ht="13.5" customHeight="1">
      <c r="A23" s="174">
        <v>43607.0</v>
      </c>
      <c r="B23" s="175">
        <f>550+968</f>
        <v>1518</v>
      </c>
      <c r="C23" s="176"/>
      <c r="D23" s="176"/>
      <c r="E23" s="176"/>
      <c r="F23" s="177">
        <f t="shared" si="1"/>
        <v>1518</v>
      </c>
    </row>
    <row r="24" ht="13.5" customHeight="1">
      <c r="A24" s="174">
        <v>43608.0</v>
      </c>
      <c r="B24" s="175">
        <f>864+491</f>
        <v>1355</v>
      </c>
      <c r="C24" s="176"/>
      <c r="D24" s="176"/>
      <c r="E24" s="176"/>
      <c r="F24" s="177">
        <f t="shared" si="1"/>
        <v>1355</v>
      </c>
    </row>
    <row r="25" ht="13.5" customHeight="1">
      <c r="A25" s="174">
        <v>43609.0</v>
      </c>
      <c r="B25" s="175">
        <v>486.0</v>
      </c>
      <c r="C25" s="176"/>
      <c r="D25" s="176"/>
      <c r="E25" s="176"/>
      <c r="F25" s="177">
        <f t="shared" si="1"/>
        <v>486</v>
      </c>
    </row>
    <row r="26" ht="13.5" customHeight="1">
      <c r="A26" s="174">
        <v>43610.0</v>
      </c>
      <c r="B26" s="175">
        <f>540+510</f>
        <v>1050</v>
      </c>
      <c r="C26" s="176"/>
      <c r="D26" s="176"/>
      <c r="E26" s="175">
        <v>200.0</v>
      </c>
      <c r="F26" s="177">
        <f t="shared" si="1"/>
        <v>1250</v>
      </c>
    </row>
    <row r="27" ht="13.5" customHeight="1">
      <c r="A27" s="174">
        <v>43611.0</v>
      </c>
      <c r="B27" s="175">
        <f>850+1007+108</f>
        <v>1965</v>
      </c>
      <c r="C27" s="176"/>
      <c r="D27" s="176"/>
      <c r="E27" s="176"/>
      <c r="F27" s="177">
        <f t="shared" si="1"/>
        <v>1965</v>
      </c>
    </row>
    <row r="28" ht="13.5" customHeight="1">
      <c r="A28" s="174">
        <v>43612.0</v>
      </c>
      <c r="B28" s="175">
        <v>101.0</v>
      </c>
      <c r="C28" s="176"/>
      <c r="D28" s="176"/>
      <c r="E28" s="175">
        <f>290+(1490+380+550)+1944</f>
        <v>4654</v>
      </c>
      <c r="F28" s="177">
        <f t="shared" si="1"/>
        <v>4755</v>
      </c>
    </row>
    <row r="29" ht="13.5" customHeight="1">
      <c r="A29" s="174">
        <v>43613.0</v>
      </c>
      <c r="B29" s="175">
        <v>348.0</v>
      </c>
      <c r="C29" s="176"/>
      <c r="D29" s="176"/>
      <c r="E29" s="176"/>
      <c r="F29" s="177">
        <f t="shared" si="1"/>
        <v>348</v>
      </c>
    </row>
    <row r="30" ht="13.5" customHeight="1">
      <c r="A30" s="174">
        <v>43614.0</v>
      </c>
      <c r="B30" s="175">
        <f>538+1358</f>
        <v>1896</v>
      </c>
      <c r="C30" s="176"/>
      <c r="D30" s="176"/>
      <c r="E30" s="176"/>
      <c r="F30" s="177">
        <f t="shared" si="1"/>
        <v>1896</v>
      </c>
    </row>
    <row r="31" ht="13.5" customHeight="1">
      <c r="A31" s="174">
        <v>43615.0</v>
      </c>
      <c r="B31" s="175">
        <f>336+567</f>
        <v>903</v>
      </c>
      <c r="C31" s="176"/>
      <c r="D31" s="175">
        <v>308.0</v>
      </c>
      <c r="E31" s="176"/>
      <c r="F31" s="177">
        <f t="shared" si="1"/>
        <v>1211</v>
      </c>
    </row>
    <row r="32" ht="13.5" customHeight="1">
      <c r="A32" s="174">
        <v>43616.0</v>
      </c>
      <c r="B32" s="175">
        <v>523.0</v>
      </c>
      <c r="C32" s="176"/>
      <c r="D32" s="176"/>
      <c r="E32" s="176">
        <f>59000+1600+4386</f>
        <v>64986</v>
      </c>
      <c r="F32" s="177">
        <f t="shared" si="1"/>
        <v>65509</v>
      </c>
    </row>
    <row r="33" ht="13.5" customHeight="1">
      <c r="A33" s="182" t="s">
        <v>399</v>
      </c>
      <c r="B33" s="177">
        <f t="shared" ref="B33:E33" si="2">SUM(B2:B32)</f>
        <v>33824.475</v>
      </c>
      <c r="C33" s="177">
        <f t="shared" si="2"/>
        <v>3000</v>
      </c>
      <c r="D33" s="177">
        <f t="shared" si="2"/>
        <v>1820</v>
      </c>
      <c r="E33" s="177">
        <f t="shared" si="2"/>
        <v>78129</v>
      </c>
      <c r="F33" s="177">
        <f t="shared" si="1"/>
        <v>116773.475</v>
      </c>
    </row>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row>
    <row r="2" ht="13.5" customHeight="1">
      <c r="A2" s="203">
        <v>43556.0</v>
      </c>
      <c r="B2" s="175">
        <v>1697.0</v>
      </c>
      <c r="C2" s="176"/>
      <c r="D2" s="176"/>
      <c r="E2" s="175">
        <v>500.0</v>
      </c>
      <c r="F2" s="177">
        <f t="shared" ref="F2:F32" si="1">SUM(B2:E2)</f>
        <v>2197</v>
      </c>
    </row>
    <row r="3" ht="13.5" customHeight="1">
      <c r="A3" s="203">
        <v>43557.0</v>
      </c>
      <c r="B3" s="175">
        <v>479.0</v>
      </c>
      <c r="C3" s="176"/>
      <c r="D3" s="176"/>
      <c r="E3" s="176"/>
      <c r="F3" s="177">
        <f t="shared" si="1"/>
        <v>479</v>
      </c>
    </row>
    <row r="4" ht="13.5" customHeight="1">
      <c r="A4" s="203">
        <v>43558.0</v>
      </c>
      <c r="B4" s="175">
        <f>259+750</f>
        <v>1009</v>
      </c>
      <c r="C4" s="176"/>
      <c r="D4" s="176"/>
      <c r="E4" s="175">
        <v>512.0</v>
      </c>
      <c r="F4" s="177">
        <f t="shared" si="1"/>
        <v>1521</v>
      </c>
    </row>
    <row r="5" ht="13.5" customHeight="1">
      <c r="A5" s="203">
        <v>43559.0</v>
      </c>
      <c r="B5" s="175">
        <v>1200.0</v>
      </c>
      <c r="C5" s="175">
        <f>900+1000</f>
        <v>1900</v>
      </c>
      <c r="D5" s="176"/>
      <c r="E5" s="175">
        <f>1200+600</f>
        <v>1800</v>
      </c>
      <c r="F5" s="177">
        <f t="shared" si="1"/>
        <v>4900</v>
      </c>
    </row>
    <row r="6" ht="13.5" customHeight="1">
      <c r="A6" s="203">
        <v>43560.0</v>
      </c>
      <c r="B6" s="175">
        <f>500+86</f>
        <v>586</v>
      </c>
      <c r="C6" s="176"/>
      <c r="D6" s="176"/>
      <c r="E6" s="176"/>
      <c r="F6" s="177">
        <f t="shared" si="1"/>
        <v>586</v>
      </c>
    </row>
    <row r="7" ht="13.5" customHeight="1">
      <c r="A7" s="203">
        <v>43561.0</v>
      </c>
      <c r="B7" s="176"/>
      <c r="C7" s="175">
        <v>600.0</v>
      </c>
      <c r="D7" s="176"/>
      <c r="E7" s="175">
        <v>900.0</v>
      </c>
      <c r="F7" s="177">
        <f t="shared" si="1"/>
        <v>1500</v>
      </c>
    </row>
    <row r="8" ht="13.5" customHeight="1">
      <c r="A8" s="203">
        <v>43562.0</v>
      </c>
      <c r="B8" s="175">
        <v>610.0</v>
      </c>
      <c r="C8" s="176"/>
      <c r="D8" s="176"/>
      <c r="E8" s="176"/>
      <c r="F8" s="177">
        <f t="shared" si="1"/>
        <v>610</v>
      </c>
    </row>
    <row r="9" ht="13.5" customHeight="1">
      <c r="A9" s="203">
        <v>43563.0</v>
      </c>
      <c r="B9" s="175">
        <v>1664.0</v>
      </c>
      <c r="C9" s="176"/>
      <c r="D9" s="176"/>
      <c r="E9" s="176"/>
      <c r="F9" s="177">
        <f t="shared" si="1"/>
        <v>1664</v>
      </c>
    </row>
    <row r="10" ht="13.5" customHeight="1">
      <c r="A10" s="203">
        <v>43564.0</v>
      </c>
      <c r="B10" s="175">
        <f>302+324+900</f>
        <v>1526</v>
      </c>
      <c r="C10" s="176"/>
      <c r="D10" s="176"/>
      <c r="E10" s="175">
        <v>636.0</v>
      </c>
      <c r="F10" s="177">
        <f t="shared" si="1"/>
        <v>2162</v>
      </c>
    </row>
    <row r="11" ht="13.5" customHeight="1">
      <c r="A11" s="203">
        <v>43565.0</v>
      </c>
      <c r="B11" s="175">
        <f>378+378</f>
        <v>756</v>
      </c>
      <c r="C11" s="176"/>
      <c r="D11" s="176"/>
      <c r="E11" s="176"/>
      <c r="F11" s="177">
        <f t="shared" si="1"/>
        <v>756</v>
      </c>
    </row>
    <row r="12" ht="13.5" customHeight="1">
      <c r="A12" s="203">
        <v>43566.0</v>
      </c>
      <c r="B12" s="175">
        <v>500.0</v>
      </c>
      <c r="C12" s="176"/>
      <c r="D12" s="176"/>
      <c r="E12" s="176"/>
      <c r="F12" s="177">
        <f t="shared" si="1"/>
        <v>500</v>
      </c>
    </row>
    <row r="13" ht="13.5" customHeight="1">
      <c r="A13" s="203">
        <v>43567.0</v>
      </c>
      <c r="B13" s="175">
        <v>432.0</v>
      </c>
      <c r="C13" s="175">
        <v>2000.0</v>
      </c>
      <c r="D13" s="176"/>
      <c r="E13" s="176"/>
      <c r="F13" s="177">
        <f t="shared" si="1"/>
        <v>2432</v>
      </c>
    </row>
    <row r="14" ht="13.5" customHeight="1">
      <c r="A14" s="203">
        <v>43568.0</v>
      </c>
      <c r="B14" s="175">
        <f>486+700</f>
        <v>1186</v>
      </c>
      <c r="C14" s="176"/>
      <c r="D14" s="175">
        <v>108.0</v>
      </c>
      <c r="E14" s="175">
        <f>702+2808</f>
        <v>3510</v>
      </c>
      <c r="F14" s="177">
        <f t="shared" si="1"/>
        <v>4804</v>
      </c>
    </row>
    <row r="15" ht="13.5" customHeight="1">
      <c r="A15" s="203">
        <v>43569.0</v>
      </c>
      <c r="B15" s="176"/>
      <c r="C15" s="176"/>
      <c r="D15" s="176"/>
      <c r="E15" s="175">
        <f>209*16+1786</f>
        <v>5130</v>
      </c>
      <c r="F15" s="177">
        <f t="shared" si="1"/>
        <v>5130</v>
      </c>
    </row>
    <row r="16" ht="13.5" customHeight="1">
      <c r="A16" s="203">
        <v>43570.0</v>
      </c>
      <c r="B16" s="175">
        <v>850.0</v>
      </c>
      <c r="C16" s="176"/>
      <c r="D16" s="176"/>
      <c r="E16" s="175">
        <v>2570.0</v>
      </c>
      <c r="F16" s="177">
        <f t="shared" si="1"/>
        <v>3420</v>
      </c>
    </row>
    <row r="17" ht="13.5" customHeight="1">
      <c r="A17" s="203">
        <v>43571.0</v>
      </c>
      <c r="B17" s="176"/>
      <c r="C17" s="176"/>
      <c r="D17" s="176"/>
      <c r="E17" s="175">
        <v>1370.0</v>
      </c>
      <c r="F17" s="177">
        <f t="shared" si="1"/>
        <v>1370</v>
      </c>
    </row>
    <row r="18" ht="13.5" customHeight="1">
      <c r="A18" s="203">
        <v>43572.0</v>
      </c>
      <c r="B18" s="175">
        <f>437+566</f>
        <v>1003</v>
      </c>
      <c r="C18" s="176"/>
      <c r="D18" s="176"/>
      <c r="E18" s="176"/>
      <c r="F18" s="177">
        <f t="shared" si="1"/>
        <v>1003</v>
      </c>
    </row>
    <row r="19" ht="13.5" customHeight="1">
      <c r="A19" s="203">
        <v>43573.0</v>
      </c>
      <c r="B19" s="176"/>
      <c r="C19" s="176"/>
      <c r="D19" s="176"/>
      <c r="E19" s="175">
        <v>1500.0</v>
      </c>
      <c r="F19" s="177">
        <f t="shared" si="1"/>
        <v>1500</v>
      </c>
    </row>
    <row r="20" ht="13.5" customHeight="1">
      <c r="A20" s="203">
        <v>43574.0</v>
      </c>
      <c r="B20" s="175">
        <f>445+4000</f>
        <v>4445</v>
      </c>
      <c r="C20" s="176"/>
      <c r="D20" s="175">
        <f>1500+1080</f>
        <v>2580</v>
      </c>
      <c r="E20" s="175"/>
      <c r="F20" s="177">
        <f t="shared" si="1"/>
        <v>7025</v>
      </c>
    </row>
    <row r="21" ht="13.5" customHeight="1">
      <c r="A21" s="203">
        <v>43575.0</v>
      </c>
      <c r="B21" s="176"/>
      <c r="C21" s="176"/>
      <c r="D21" s="176"/>
      <c r="E21" s="176"/>
      <c r="F21" s="177">
        <f t="shared" si="1"/>
        <v>0</v>
      </c>
    </row>
    <row r="22" ht="13.5" customHeight="1">
      <c r="A22" s="203">
        <v>43576.0</v>
      </c>
      <c r="B22" s="176"/>
      <c r="C22" s="176"/>
      <c r="D22" s="176"/>
      <c r="E22" s="175">
        <f>4000+213</f>
        <v>4213</v>
      </c>
      <c r="F22" s="177">
        <f t="shared" si="1"/>
        <v>4213</v>
      </c>
    </row>
    <row r="23" ht="13.5" customHeight="1">
      <c r="A23" s="203">
        <v>43577.0</v>
      </c>
      <c r="B23" s="175">
        <v>437.0</v>
      </c>
      <c r="C23" s="176"/>
      <c r="D23" s="176"/>
      <c r="E23" s="176"/>
      <c r="F23" s="177">
        <f t="shared" si="1"/>
        <v>437</v>
      </c>
    </row>
    <row r="24" ht="13.5" customHeight="1">
      <c r="A24" s="203">
        <v>43578.0</v>
      </c>
      <c r="B24" s="175">
        <f>81+1326</f>
        <v>1407</v>
      </c>
      <c r="C24" s="176"/>
      <c r="D24" s="175">
        <v>756.0</v>
      </c>
      <c r="E24" s="175">
        <f>100+972</f>
        <v>1072</v>
      </c>
      <c r="F24" s="177">
        <f t="shared" si="1"/>
        <v>3235</v>
      </c>
    </row>
    <row r="25" ht="13.5" customHeight="1">
      <c r="A25" s="203">
        <v>43579.0</v>
      </c>
      <c r="B25" s="175">
        <f>432+164+280</f>
        <v>876</v>
      </c>
      <c r="C25" s="176"/>
      <c r="D25" s="175">
        <f>157.9*16</f>
        <v>2526.4</v>
      </c>
      <c r="E25" s="176"/>
      <c r="F25" s="177">
        <f t="shared" si="1"/>
        <v>3402.4</v>
      </c>
    </row>
    <row r="26" ht="13.5" customHeight="1">
      <c r="A26" s="203">
        <v>43580.0</v>
      </c>
      <c r="B26" s="175">
        <f>6064+(111+496)</f>
        <v>6671</v>
      </c>
      <c r="C26" s="176"/>
      <c r="D26" s="176"/>
      <c r="E26" s="175"/>
      <c r="F26" s="177">
        <f t="shared" si="1"/>
        <v>6671</v>
      </c>
    </row>
    <row r="27" ht="13.5" customHeight="1">
      <c r="A27" s="203">
        <v>43581.0</v>
      </c>
      <c r="B27" s="178">
        <f>600/2</f>
        <v>300</v>
      </c>
      <c r="C27" s="176"/>
      <c r="D27" s="175">
        <v>987.0</v>
      </c>
      <c r="E27" s="176"/>
      <c r="F27" s="177">
        <f t="shared" si="1"/>
        <v>1287</v>
      </c>
    </row>
    <row r="28" ht="13.5" customHeight="1">
      <c r="A28" s="203">
        <v>43582.0</v>
      </c>
      <c r="B28" s="178">
        <f>(1474+962+1493)/2</f>
        <v>1964.5</v>
      </c>
      <c r="C28" s="176"/>
      <c r="D28" s="175">
        <v>216.0</v>
      </c>
      <c r="E28" s="176"/>
      <c r="F28" s="177">
        <f t="shared" si="1"/>
        <v>2180.5</v>
      </c>
    </row>
    <row r="29" ht="13.5" customHeight="1">
      <c r="A29" s="203">
        <v>43583.0</v>
      </c>
      <c r="B29" s="178">
        <f>(716+639+859)/2</f>
        <v>1107</v>
      </c>
      <c r="C29" s="176"/>
      <c r="D29" s="175">
        <f>300+108</f>
        <v>408</v>
      </c>
      <c r="E29" s="175">
        <v>216.0</v>
      </c>
      <c r="F29" s="177">
        <f t="shared" si="1"/>
        <v>1731</v>
      </c>
      <c r="K29" s="204"/>
    </row>
    <row r="30" ht="13.5" customHeight="1">
      <c r="A30" s="203">
        <v>43584.0</v>
      </c>
      <c r="B30" s="178">
        <f>(600+1122)/2</f>
        <v>861</v>
      </c>
      <c r="C30" s="176"/>
      <c r="D30" s="175">
        <v>324.0</v>
      </c>
      <c r="E30" s="175"/>
      <c r="F30" s="177">
        <f t="shared" si="1"/>
        <v>1185</v>
      </c>
    </row>
    <row r="31" ht="13.5" customHeight="1">
      <c r="A31" s="203">
        <v>43585.0</v>
      </c>
      <c r="B31" s="176"/>
      <c r="C31" s="178">
        <f>(1800+5200)/2+3920/2</f>
        <v>5460</v>
      </c>
      <c r="D31" s="175">
        <v>108.0</v>
      </c>
      <c r="E31" s="176">
        <f>59000+5000+540+4257</f>
        <v>68797</v>
      </c>
      <c r="F31" s="177">
        <f t="shared" si="1"/>
        <v>74365</v>
      </c>
    </row>
    <row r="32" ht="13.5" customHeight="1">
      <c r="A32" s="182" t="s">
        <v>399</v>
      </c>
      <c r="B32" s="177">
        <f t="shared" ref="B32:E32" si="2">SUM(B2:B31)</f>
        <v>31566.5</v>
      </c>
      <c r="C32" s="177">
        <f t="shared" si="2"/>
        <v>9960</v>
      </c>
      <c r="D32" s="177">
        <f t="shared" si="2"/>
        <v>8013.4</v>
      </c>
      <c r="E32" s="177">
        <f t="shared" si="2"/>
        <v>92726</v>
      </c>
      <c r="F32" s="177">
        <f t="shared" si="1"/>
        <v>142265.9</v>
      </c>
    </row>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row>
    <row r="2" ht="13.5" customHeight="1">
      <c r="A2" s="203">
        <v>43525.0</v>
      </c>
      <c r="B2" s="176">
        <v>291.0</v>
      </c>
      <c r="C2" s="176"/>
      <c r="D2" s="176"/>
      <c r="E2" s="176"/>
      <c r="F2" s="177">
        <f t="shared" ref="F2:F33" si="1">SUM(B2:E2)</f>
        <v>291</v>
      </c>
    </row>
    <row r="3" ht="13.5" customHeight="1">
      <c r="A3" s="203">
        <v>43526.0</v>
      </c>
      <c r="B3" s="176">
        <f>1108+450+1000</f>
        <v>2558</v>
      </c>
      <c r="C3" s="176">
        <v>2000.0</v>
      </c>
      <c r="D3" s="176"/>
      <c r="E3" s="176"/>
      <c r="F3" s="177">
        <f t="shared" si="1"/>
        <v>4558</v>
      </c>
    </row>
    <row r="4" ht="13.5" customHeight="1">
      <c r="A4" s="203">
        <v>43527.0</v>
      </c>
      <c r="B4" s="176">
        <f>550+530</f>
        <v>1080</v>
      </c>
      <c r="C4" s="176"/>
      <c r="D4" s="176"/>
      <c r="E4" s="176"/>
      <c r="F4" s="177">
        <f t="shared" si="1"/>
        <v>1080</v>
      </c>
    </row>
    <row r="5" ht="13.5" customHeight="1">
      <c r="A5" s="203">
        <v>43528.0</v>
      </c>
      <c r="B5" s="176">
        <v>1483.0</v>
      </c>
      <c r="C5" s="176"/>
      <c r="D5" s="176"/>
      <c r="E5" s="176"/>
      <c r="F5" s="177">
        <f t="shared" si="1"/>
        <v>1483</v>
      </c>
    </row>
    <row r="6" ht="13.5" customHeight="1">
      <c r="A6" s="203">
        <v>43529.0</v>
      </c>
      <c r="B6" s="176">
        <v>447.0</v>
      </c>
      <c r="C6" s="176"/>
      <c r="D6" s="176"/>
      <c r="E6" s="176"/>
      <c r="F6" s="177">
        <f t="shared" si="1"/>
        <v>447</v>
      </c>
    </row>
    <row r="7" ht="13.5" customHeight="1">
      <c r="A7" s="203">
        <v>43530.0</v>
      </c>
      <c r="B7" s="176">
        <f>367+216</f>
        <v>583</v>
      </c>
      <c r="C7" s="176"/>
      <c r="D7" s="176"/>
      <c r="E7" s="176">
        <v>1670.0</v>
      </c>
      <c r="F7" s="177">
        <f t="shared" si="1"/>
        <v>2253</v>
      </c>
    </row>
    <row r="8" ht="13.5" customHeight="1">
      <c r="A8" s="203">
        <v>43531.0</v>
      </c>
      <c r="B8" s="176">
        <v>86.0</v>
      </c>
      <c r="C8" s="176"/>
      <c r="D8" s="176"/>
      <c r="E8" s="176"/>
      <c r="F8" s="177">
        <f t="shared" si="1"/>
        <v>86</v>
      </c>
    </row>
    <row r="9" ht="13.5" customHeight="1">
      <c r="A9" s="203">
        <v>43532.0</v>
      </c>
      <c r="B9" s="176">
        <f>1483+324</f>
        <v>1807</v>
      </c>
      <c r="C9" s="176"/>
      <c r="D9" s="176"/>
      <c r="E9" s="176">
        <f>600+2862+900</f>
        <v>4362</v>
      </c>
      <c r="F9" s="177">
        <f t="shared" si="1"/>
        <v>6169</v>
      </c>
    </row>
    <row r="10" ht="13.5" customHeight="1">
      <c r="A10" s="203">
        <v>43533.0</v>
      </c>
      <c r="B10" s="176">
        <v>900.0</v>
      </c>
      <c r="C10" s="176"/>
      <c r="D10" s="176"/>
      <c r="E10" s="176"/>
      <c r="F10" s="177">
        <f t="shared" si="1"/>
        <v>900</v>
      </c>
    </row>
    <row r="11" ht="13.5" customHeight="1">
      <c r="A11" s="203">
        <v>43534.0</v>
      </c>
      <c r="B11" s="176">
        <v>1447.0</v>
      </c>
      <c r="C11" s="176"/>
      <c r="D11" s="176"/>
      <c r="E11" s="176"/>
      <c r="F11" s="177">
        <f t="shared" si="1"/>
        <v>1447</v>
      </c>
    </row>
    <row r="12" ht="13.5" customHeight="1">
      <c r="A12" s="203">
        <v>43535.0</v>
      </c>
      <c r="B12" s="176">
        <f>680+344</f>
        <v>1024</v>
      </c>
      <c r="C12" s="176"/>
      <c r="D12" s="176"/>
      <c r="E12" s="176"/>
      <c r="F12" s="177">
        <f t="shared" si="1"/>
        <v>1024</v>
      </c>
    </row>
    <row r="13" ht="13.5" customHeight="1">
      <c r="A13" s="203">
        <v>43536.0</v>
      </c>
      <c r="B13" s="176">
        <f>1000.9</f>
        <v>1000.9</v>
      </c>
      <c r="C13" s="176"/>
      <c r="D13" s="176"/>
      <c r="E13" s="176"/>
      <c r="F13" s="177">
        <f t="shared" si="1"/>
        <v>1000.9</v>
      </c>
    </row>
    <row r="14" ht="13.5" customHeight="1">
      <c r="A14" s="203">
        <v>43537.0</v>
      </c>
      <c r="B14" s="176">
        <f>1234</f>
        <v>1234</v>
      </c>
      <c r="C14" s="176"/>
      <c r="D14" s="176"/>
      <c r="E14" s="176">
        <v>600.0</v>
      </c>
      <c r="F14" s="177">
        <f t="shared" si="1"/>
        <v>1834</v>
      </c>
    </row>
    <row r="15" ht="13.5" customHeight="1">
      <c r="A15" s="203">
        <v>43538.0</v>
      </c>
      <c r="B15" s="176">
        <f>630+690+392+1058</f>
        <v>2770</v>
      </c>
      <c r="C15" s="176"/>
      <c r="D15" s="176"/>
      <c r="E15" s="176">
        <v>600.0</v>
      </c>
      <c r="F15" s="177">
        <f t="shared" si="1"/>
        <v>3370</v>
      </c>
    </row>
    <row r="16" ht="13.5" customHeight="1">
      <c r="A16" s="203">
        <v>43539.0</v>
      </c>
      <c r="B16" s="175">
        <v>2000.0</v>
      </c>
      <c r="C16" s="176"/>
      <c r="D16" s="176"/>
      <c r="E16" s="176"/>
      <c r="F16" s="177">
        <f t="shared" si="1"/>
        <v>2000</v>
      </c>
    </row>
    <row r="17" ht="13.5" customHeight="1">
      <c r="A17" s="203">
        <v>43540.0</v>
      </c>
      <c r="B17" s="176">
        <f>1146+1460</f>
        <v>2606</v>
      </c>
      <c r="C17" s="176"/>
      <c r="D17" s="176"/>
      <c r="E17" s="176"/>
      <c r="F17" s="177">
        <f t="shared" si="1"/>
        <v>2606</v>
      </c>
    </row>
    <row r="18" ht="13.5" customHeight="1">
      <c r="A18" s="203">
        <v>43541.0</v>
      </c>
      <c r="B18" s="175">
        <v>264.0</v>
      </c>
      <c r="C18" s="176"/>
      <c r="D18" s="176">
        <v>254.0</v>
      </c>
      <c r="E18" s="176"/>
      <c r="F18" s="177">
        <f t="shared" si="1"/>
        <v>518</v>
      </c>
    </row>
    <row r="19" ht="13.5" customHeight="1">
      <c r="A19" s="203">
        <v>43542.0</v>
      </c>
      <c r="B19" s="176">
        <f>160+177+800+889</f>
        <v>2026</v>
      </c>
      <c r="C19" s="176"/>
      <c r="D19" s="176"/>
      <c r="E19" s="176"/>
      <c r="F19" s="177">
        <f t="shared" si="1"/>
        <v>2026</v>
      </c>
    </row>
    <row r="20" ht="13.5" customHeight="1">
      <c r="A20" s="203">
        <v>43543.0</v>
      </c>
      <c r="B20" s="176">
        <v>100.0</v>
      </c>
      <c r="C20" s="176"/>
      <c r="D20" s="176"/>
      <c r="E20" s="176"/>
      <c r="F20" s="177">
        <f t="shared" si="1"/>
        <v>100</v>
      </c>
    </row>
    <row r="21" ht="13.5" customHeight="1">
      <c r="A21" s="203">
        <v>43544.0</v>
      </c>
      <c r="B21" s="176">
        <f>484+482+657</f>
        <v>1623</v>
      </c>
      <c r="C21" s="176"/>
      <c r="D21" s="176">
        <v>3780.0</v>
      </c>
      <c r="E21" s="176"/>
      <c r="F21" s="177">
        <f t="shared" si="1"/>
        <v>5403</v>
      </c>
    </row>
    <row r="22" ht="13.5" customHeight="1">
      <c r="A22" s="203">
        <v>43545.0</v>
      </c>
      <c r="B22" s="176">
        <v>1700.0</v>
      </c>
      <c r="C22" s="176">
        <f>600+210</f>
        <v>810</v>
      </c>
      <c r="D22" s="176">
        <f>216+162</f>
        <v>378</v>
      </c>
      <c r="E22" s="176">
        <v>1944.0</v>
      </c>
      <c r="F22" s="177">
        <f t="shared" si="1"/>
        <v>4832</v>
      </c>
    </row>
    <row r="23" ht="13.5" customHeight="1">
      <c r="A23" s="203">
        <v>43546.0</v>
      </c>
      <c r="B23" s="176">
        <f>2500+938</f>
        <v>3438</v>
      </c>
      <c r="C23" s="176"/>
      <c r="D23" s="176"/>
      <c r="E23" s="176"/>
      <c r="F23" s="177">
        <f t="shared" si="1"/>
        <v>3438</v>
      </c>
    </row>
    <row r="24" ht="13.5" customHeight="1">
      <c r="A24" s="203">
        <v>43547.0</v>
      </c>
      <c r="B24" s="176">
        <f>345+370+940+2641+537+1036</f>
        <v>5869</v>
      </c>
      <c r="C24" s="176"/>
      <c r="D24" s="176"/>
      <c r="E24" s="176"/>
      <c r="F24" s="177">
        <f t="shared" si="1"/>
        <v>5869</v>
      </c>
    </row>
    <row r="25" ht="13.5" customHeight="1">
      <c r="A25" s="203">
        <v>43548.0</v>
      </c>
      <c r="B25" s="176">
        <f>1881+410</f>
        <v>2291</v>
      </c>
      <c r="C25" s="176"/>
      <c r="D25" s="176">
        <v>3679.0</v>
      </c>
      <c r="E25" s="176">
        <v>3100.0</v>
      </c>
      <c r="F25" s="177">
        <f t="shared" si="1"/>
        <v>9070</v>
      </c>
    </row>
    <row r="26" ht="13.5" customHeight="1">
      <c r="A26" s="203">
        <v>43549.0</v>
      </c>
      <c r="B26" s="176">
        <f>3497+984+818</f>
        <v>5299</v>
      </c>
      <c r="C26" s="176"/>
      <c r="D26" s="176">
        <v>540.0</v>
      </c>
      <c r="E26" s="176">
        <v>911.0</v>
      </c>
      <c r="F26" s="177">
        <f t="shared" si="1"/>
        <v>6750</v>
      </c>
    </row>
    <row r="27" ht="13.5" customHeight="1">
      <c r="A27" s="203">
        <v>43550.0</v>
      </c>
      <c r="B27" s="176">
        <f>789+1166+842</f>
        <v>2797</v>
      </c>
      <c r="C27" s="176">
        <v>1000.0</v>
      </c>
      <c r="D27" s="176"/>
      <c r="E27" s="176">
        <v>4752.0</v>
      </c>
      <c r="F27" s="177">
        <f t="shared" si="1"/>
        <v>8549</v>
      </c>
    </row>
    <row r="28" ht="13.5" customHeight="1">
      <c r="A28" s="203">
        <v>43551.0</v>
      </c>
      <c r="B28" s="176">
        <f>224+591</f>
        <v>815</v>
      </c>
      <c r="C28" s="176">
        <v>1000.0</v>
      </c>
      <c r="D28" s="176"/>
      <c r="E28" s="176">
        <v>1770.0</v>
      </c>
      <c r="F28" s="177">
        <f t="shared" si="1"/>
        <v>3585</v>
      </c>
    </row>
    <row r="29" ht="13.5" customHeight="1">
      <c r="A29" s="203">
        <v>43552.0</v>
      </c>
      <c r="B29" s="176">
        <f>328+450</f>
        <v>778</v>
      </c>
      <c r="C29" s="176"/>
      <c r="D29" s="176"/>
      <c r="E29" s="176"/>
      <c r="F29" s="177">
        <f t="shared" si="1"/>
        <v>778</v>
      </c>
    </row>
    <row r="30" ht="13.5" customHeight="1">
      <c r="A30" s="203">
        <v>43553.0</v>
      </c>
      <c r="B30" s="175">
        <v>223.0</v>
      </c>
      <c r="C30" s="176"/>
      <c r="D30" s="176"/>
      <c r="E30" s="176"/>
      <c r="F30" s="177">
        <f t="shared" si="1"/>
        <v>223</v>
      </c>
    </row>
    <row r="31" ht="13.5" customHeight="1">
      <c r="A31" s="203">
        <v>43554.0</v>
      </c>
      <c r="B31" s="175">
        <v>257.0</v>
      </c>
      <c r="C31" s="176"/>
      <c r="D31" s="176"/>
      <c r="E31" s="176"/>
      <c r="F31" s="177">
        <f t="shared" si="1"/>
        <v>257</v>
      </c>
    </row>
    <row r="32" ht="13.5" customHeight="1">
      <c r="A32" s="203">
        <v>43555.0</v>
      </c>
      <c r="B32" s="176"/>
      <c r="C32" s="176">
        <f>(13080/2)+(14290/2)+6660/2+1240</f>
        <v>18255</v>
      </c>
      <c r="D32" s="176"/>
      <c r="E32" s="176">
        <f>22800+14500+1944+4257+600</f>
        <v>44101</v>
      </c>
      <c r="F32" s="177">
        <f t="shared" si="1"/>
        <v>62356</v>
      </c>
    </row>
    <row r="33" ht="13.5" customHeight="1">
      <c r="A33" s="182" t="s">
        <v>399</v>
      </c>
      <c r="B33" s="177">
        <f t="shared" ref="B33:E33" si="2">SUM(B2:B32)</f>
        <v>48796.9</v>
      </c>
      <c r="C33" s="177">
        <f t="shared" si="2"/>
        <v>23065</v>
      </c>
      <c r="D33" s="177">
        <f t="shared" si="2"/>
        <v>8631</v>
      </c>
      <c r="E33" s="177">
        <f t="shared" si="2"/>
        <v>63810</v>
      </c>
      <c r="F33" s="177">
        <f t="shared" si="1"/>
        <v>144302.9</v>
      </c>
    </row>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row>
    <row r="2" ht="13.5" customHeight="1">
      <c r="A2" s="203">
        <v>43497.0</v>
      </c>
      <c r="B2" s="176">
        <f>989+288+432+4250+280</f>
        <v>6239</v>
      </c>
      <c r="C2" s="176">
        <v>900.0</v>
      </c>
      <c r="D2" s="176"/>
      <c r="E2" s="176">
        <v>2000.0</v>
      </c>
      <c r="F2" s="177">
        <f t="shared" ref="F2:F30" si="1">SUM(B2:E2)</f>
        <v>9139</v>
      </c>
    </row>
    <row r="3" ht="13.5" customHeight="1">
      <c r="A3" s="203">
        <v>43498.0</v>
      </c>
      <c r="B3" s="176">
        <f>1121+496</f>
        <v>1617</v>
      </c>
      <c r="C3" s="176"/>
      <c r="D3" s="176">
        <f>2332</f>
        <v>2332</v>
      </c>
      <c r="E3" s="176">
        <v>818.0</v>
      </c>
      <c r="F3" s="177">
        <f t="shared" si="1"/>
        <v>4767</v>
      </c>
    </row>
    <row r="4" ht="13.5" customHeight="1">
      <c r="A4" s="203">
        <v>43499.0</v>
      </c>
      <c r="B4" s="176">
        <f>620+620</f>
        <v>1240</v>
      </c>
      <c r="C4" s="176"/>
      <c r="D4" s="176"/>
      <c r="E4" s="176"/>
      <c r="F4" s="177">
        <f t="shared" si="1"/>
        <v>1240</v>
      </c>
    </row>
    <row r="5" ht="13.5" customHeight="1">
      <c r="A5" s="203">
        <v>43500.0</v>
      </c>
      <c r="B5" s="176">
        <f>817+(1550+2050)+412</f>
        <v>4829</v>
      </c>
      <c r="C5" s="176"/>
      <c r="D5" s="176"/>
      <c r="E5" s="176">
        <v>324.0</v>
      </c>
      <c r="F5" s="177">
        <f t="shared" si="1"/>
        <v>5153</v>
      </c>
    </row>
    <row r="6" ht="13.5" customHeight="1">
      <c r="A6" s="203">
        <v>43501.0</v>
      </c>
      <c r="B6" s="176">
        <v>570.0</v>
      </c>
      <c r="C6" s="176"/>
      <c r="D6" s="176"/>
      <c r="E6" s="176"/>
      <c r="F6" s="177">
        <f t="shared" si="1"/>
        <v>570</v>
      </c>
    </row>
    <row r="7" ht="13.5" customHeight="1">
      <c r="A7" s="203">
        <v>43502.0</v>
      </c>
      <c r="B7" s="176">
        <v>602.0</v>
      </c>
      <c r="C7" s="176"/>
      <c r="D7" s="176"/>
      <c r="E7" s="176"/>
      <c r="F7" s="177">
        <f t="shared" si="1"/>
        <v>602</v>
      </c>
    </row>
    <row r="8" ht="13.5" customHeight="1">
      <c r="A8" s="203">
        <v>43503.0</v>
      </c>
      <c r="B8" s="176">
        <f>216+421</f>
        <v>637</v>
      </c>
      <c r="C8" s="176"/>
      <c r="D8" s="176"/>
      <c r="E8" s="176"/>
      <c r="F8" s="177">
        <f t="shared" si="1"/>
        <v>637</v>
      </c>
    </row>
    <row r="9" ht="13.5" customHeight="1">
      <c r="A9" s="203">
        <v>43504.0</v>
      </c>
      <c r="B9" s="176">
        <f>550+570+920</f>
        <v>2040</v>
      </c>
      <c r="C9" s="176"/>
      <c r="D9" s="176"/>
      <c r="E9" s="176"/>
      <c r="F9" s="177">
        <f t="shared" si="1"/>
        <v>2040</v>
      </c>
    </row>
    <row r="10" ht="13.5" customHeight="1">
      <c r="A10" s="203">
        <v>43505.0</v>
      </c>
      <c r="B10" s="176">
        <f>1080+596</f>
        <v>1676</v>
      </c>
      <c r="C10" s="176">
        <v>3000.0</v>
      </c>
      <c r="D10" s="176"/>
      <c r="E10" s="176"/>
      <c r="F10" s="177">
        <f t="shared" si="1"/>
        <v>4676</v>
      </c>
    </row>
    <row r="11" ht="13.5" customHeight="1">
      <c r="A11" s="203">
        <v>43506.0</v>
      </c>
      <c r="B11" s="176">
        <f>287+1700</f>
        <v>1987</v>
      </c>
      <c r="C11" s="176"/>
      <c r="D11" s="176"/>
      <c r="E11" s="176"/>
      <c r="F11" s="177">
        <f t="shared" si="1"/>
        <v>1987</v>
      </c>
    </row>
    <row r="12" ht="13.5" customHeight="1">
      <c r="A12" s="203">
        <v>43507.0</v>
      </c>
      <c r="B12" s="176">
        <f>361+346+1652+216+775</f>
        <v>3350</v>
      </c>
      <c r="C12" s="176"/>
      <c r="D12" s="176"/>
      <c r="E12" s="176"/>
      <c r="F12" s="177">
        <f t="shared" si="1"/>
        <v>3350</v>
      </c>
    </row>
    <row r="13" ht="13.5" customHeight="1">
      <c r="A13" s="203">
        <v>43508.0</v>
      </c>
      <c r="B13" s="176">
        <v>462.0</v>
      </c>
      <c r="C13" s="176"/>
      <c r="D13" s="176"/>
      <c r="E13" s="176"/>
      <c r="F13" s="177">
        <f t="shared" si="1"/>
        <v>462</v>
      </c>
    </row>
    <row r="14" ht="13.5" customHeight="1">
      <c r="A14" s="203">
        <v>43509.0</v>
      </c>
      <c r="B14" s="176">
        <f>1600+381</f>
        <v>1981</v>
      </c>
      <c r="C14" s="176"/>
      <c r="D14" s="176"/>
      <c r="E14" s="176"/>
      <c r="F14" s="177">
        <f t="shared" si="1"/>
        <v>1981</v>
      </c>
    </row>
    <row r="15" ht="13.5" customHeight="1">
      <c r="A15" s="203">
        <v>43510.0</v>
      </c>
      <c r="B15" s="176">
        <f>1800+680+243+550+150</f>
        <v>3423</v>
      </c>
      <c r="C15" s="176"/>
      <c r="D15" s="176"/>
      <c r="E15" s="176"/>
      <c r="F15" s="177">
        <f t="shared" si="1"/>
        <v>3423</v>
      </c>
    </row>
    <row r="16" ht="13.5" customHeight="1">
      <c r="A16" s="203">
        <v>43511.0</v>
      </c>
      <c r="B16" s="176">
        <f>151+623</f>
        <v>774</v>
      </c>
      <c r="C16" s="176"/>
      <c r="D16" s="176"/>
      <c r="E16" s="176"/>
      <c r="F16" s="177">
        <f t="shared" si="1"/>
        <v>774</v>
      </c>
    </row>
    <row r="17" ht="13.5" customHeight="1">
      <c r="A17" s="203">
        <v>43512.0</v>
      </c>
      <c r="B17" s="176">
        <f>1318+1605</f>
        <v>2923</v>
      </c>
      <c r="C17" s="176"/>
      <c r="D17" s="176"/>
      <c r="E17" s="176"/>
      <c r="F17" s="177">
        <f t="shared" si="1"/>
        <v>2923</v>
      </c>
    </row>
    <row r="18" ht="13.5" customHeight="1">
      <c r="A18" s="203">
        <v>43513.0</v>
      </c>
      <c r="B18" s="176">
        <v>180.0</v>
      </c>
      <c r="C18" s="176"/>
      <c r="D18" s="176"/>
      <c r="E18" s="176"/>
      <c r="F18" s="177">
        <f t="shared" si="1"/>
        <v>180</v>
      </c>
    </row>
    <row r="19" ht="13.5" customHeight="1">
      <c r="A19" s="203">
        <v>43514.0</v>
      </c>
      <c r="B19" s="176">
        <f>198+527</f>
        <v>725</v>
      </c>
      <c r="C19" s="176"/>
      <c r="D19" s="176"/>
      <c r="E19" s="176"/>
      <c r="F19" s="177">
        <f t="shared" si="1"/>
        <v>725</v>
      </c>
    </row>
    <row r="20" ht="13.5" customHeight="1">
      <c r="A20" s="203">
        <v>43515.0</v>
      </c>
      <c r="B20" s="176">
        <f>1280+140</f>
        <v>1420</v>
      </c>
      <c r="C20" s="176"/>
      <c r="D20" s="176"/>
      <c r="E20" s="176"/>
      <c r="F20" s="177">
        <f t="shared" si="1"/>
        <v>1420</v>
      </c>
    </row>
    <row r="21" ht="13.5" customHeight="1">
      <c r="A21" s="203">
        <v>43516.0</v>
      </c>
      <c r="B21" s="176">
        <f>518+587</f>
        <v>1105</v>
      </c>
      <c r="C21" s="176">
        <f>2000+100</f>
        <v>2100</v>
      </c>
      <c r="D21" s="176"/>
      <c r="E21" s="176"/>
      <c r="F21" s="177">
        <f t="shared" si="1"/>
        <v>3205</v>
      </c>
    </row>
    <row r="22" ht="13.5" customHeight="1">
      <c r="A22" s="203">
        <v>43517.0</v>
      </c>
      <c r="B22" s="176">
        <f>1969+410+324</f>
        <v>2703</v>
      </c>
      <c r="C22" s="176">
        <v>9640.0</v>
      </c>
      <c r="D22" s="176"/>
      <c r="E22" s="176">
        <v>1300.0</v>
      </c>
      <c r="F22" s="177">
        <f t="shared" si="1"/>
        <v>13643</v>
      </c>
    </row>
    <row r="23" ht="13.5" customHeight="1">
      <c r="A23" s="203">
        <v>43518.0</v>
      </c>
      <c r="B23" s="176">
        <v>100.0</v>
      </c>
      <c r="C23" s="176"/>
      <c r="D23" s="176">
        <v>3304.0</v>
      </c>
      <c r="E23" s="176"/>
      <c r="F23" s="177">
        <f t="shared" si="1"/>
        <v>3404</v>
      </c>
    </row>
    <row r="24" ht="13.5" customHeight="1">
      <c r="A24" s="203">
        <v>43519.0</v>
      </c>
      <c r="B24" s="176"/>
      <c r="C24" s="176">
        <f>2000+900</f>
        <v>2900</v>
      </c>
      <c r="D24" s="176"/>
      <c r="E24" s="176"/>
      <c r="F24" s="177">
        <f t="shared" si="1"/>
        <v>2900</v>
      </c>
    </row>
    <row r="25" ht="13.5" customHeight="1">
      <c r="A25" s="203">
        <v>43520.0</v>
      </c>
      <c r="B25" s="176">
        <v>1000.0</v>
      </c>
      <c r="C25" s="176"/>
      <c r="D25" s="176"/>
      <c r="E25" s="176"/>
      <c r="F25" s="177">
        <f t="shared" si="1"/>
        <v>1000</v>
      </c>
    </row>
    <row r="26" ht="13.5" customHeight="1">
      <c r="A26" s="203">
        <v>43521.0</v>
      </c>
      <c r="B26" s="176">
        <v>1050.0</v>
      </c>
      <c r="C26" s="176"/>
      <c r="D26" s="176"/>
      <c r="E26" s="176"/>
      <c r="F26" s="177">
        <f t="shared" si="1"/>
        <v>1050</v>
      </c>
    </row>
    <row r="27" ht="13.5" customHeight="1">
      <c r="A27" s="203">
        <v>43522.0</v>
      </c>
      <c r="B27" s="176">
        <v>302.0</v>
      </c>
      <c r="C27" s="176"/>
      <c r="D27" s="176"/>
      <c r="E27" s="176"/>
      <c r="F27" s="177">
        <f t="shared" si="1"/>
        <v>302</v>
      </c>
    </row>
    <row r="28" ht="13.5" customHeight="1">
      <c r="A28" s="203">
        <v>43523.0</v>
      </c>
      <c r="B28" s="176">
        <f>367+344</f>
        <v>711</v>
      </c>
      <c r="C28" s="176"/>
      <c r="D28" s="176"/>
      <c r="E28" s="176"/>
      <c r="F28" s="177">
        <f t="shared" si="1"/>
        <v>711</v>
      </c>
    </row>
    <row r="29" ht="13.5" customHeight="1">
      <c r="A29" s="203">
        <v>43524.0</v>
      </c>
      <c r="B29" s="176">
        <v>172.0</v>
      </c>
      <c r="C29" s="176">
        <v>5280.0</v>
      </c>
      <c r="D29" s="176"/>
      <c r="E29" s="176">
        <f>14500+4257</f>
        <v>18757</v>
      </c>
      <c r="F29" s="177">
        <f t="shared" si="1"/>
        <v>24209</v>
      </c>
    </row>
    <row r="30" ht="13.5" customHeight="1">
      <c r="A30" s="182" t="s">
        <v>399</v>
      </c>
      <c r="B30" s="177">
        <f t="shared" ref="B30:E30" si="2">SUM(B2:B29)</f>
        <v>43818</v>
      </c>
      <c r="C30" s="177">
        <f t="shared" si="2"/>
        <v>23820</v>
      </c>
      <c r="D30" s="177">
        <f t="shared" si="2"/>
        <v>5636</v>
      </c>
      <c r="E30" s="177">
        <f t="shared" si="2"/>
        <v>23199</v>
      </c>
      <c r="F30" s="177">
        <f t="shared" si="1"/>
        <v>96473</v>
      </c>
    </row>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row>
    <row r="2" ht="13.5" customHeight="1">
      <c r="A2" s="203">
        <v>43466.0</v>
      </c>
      <c r="B2" s="176">
        <f>2420+380+1160</f>
        <v>3960</v>
      </c>
      <c r="C2" s="176">
        <v>1000.0</v>
      </c>
      <c r="D2" s="176">
        <f>8737+22950+2818</f>
        <v>34505</v>
      </c>
      <c r="E2" s="176"/>
      <c r="F2" s="177">
        <f t="shared" ref="F2:F33" si="1">SUM(B2:E2)</f>
        <v>39465</v>
      </c>
    </row>
    <row r="3" ht="13.5" customHeight="1">
      <c r="A3" s="203">
        <v>43467.0</v>
      </c>
      <c r="B3" s="176">
        <f>180+579</f>
        <v>759</v>
      </c>
      <c r="C3" s="176"/>
      <c r="D3" s="176"/>
      <c r="E3" s="176">
        <v>1058.0</v>
      </c>
      <c r="F3" s="177">
        <f t="shared" si="1"/>
        <v>1817</v>
      </c>
    </row>
    <row r="4" ht="13.5" customHeight="1">
      <c r="A4" s="203">
        <v>43468.0</v>
      </c>
      <c r="B4" s="176">
        <f>(149+324+159+194+554)+3758</f>
        <v>5138</v>
      </c>
      <c r="C4" s="176"/>
      <c r="D4" s="176"/>
      <c r="E4" s="176"/>
      <c r="F4" s="177">
        <f t="shared" si="1"/>
        <v>5138</v>
      </c>
    </row>
    <row r="5" ht="13.5" customHeight="1">
      <c r="A5" s="203">
        <v>43469.0</v>
      </c>
      <c r="B5" s="176">
        <f>740+50+1580+324</f>
        <v>2694</v>
      </c>
      <c r="C5" s="176"/>
      <c r="D5" s="176"/>
      <c r="E5" s="176"/>
      <c r="F5" s="177">
        <f t="shared" si="1"/>
        <v>2694</v>
      </c>
    </row>
    <row r="6" ht="13.5" customHeight="1">
      <c r="A6" s="203">
        <v>43470.0</v>
      </c>
      <c r="B6" s="176">
        <f>159+648</f>
        <v>807</v>
      </c>
      <c r="C6" s="176"/>
      <c r="D6" s="176"/>
      <c r="E6" s="176">
        <v>6112.0</v>
      </c>
      <c r="F6" s="177">
        <f t="shared" si="1"/>
        <v>6919</v>
      </c>
    </row>
    <row r="7" ht="13.5" customHeight="1">
      <c r="A7" s="203">
        <v>43471.0</v>
      </c>
      <c r="B7" s="176">
        <f>230+432+826</f>
        <v>1488</v>
      </c>
      <c r="C7" s="176"/>
      <c r="D7" s="176"/>
      <c r="E7" s="176"/>
      <c r="F7" s="177">
        <f t="shared" si="1"/>
        <v>1488</v>
      </c>
    </row>
    <row r="8" ht="13.5" customHeight="1">
      <c r="A8" s="203">
        <v>43472.0</v>
      </c>
      <c r="B8" s="176">
        <f>2143+170</f>
        <v>2313</v>
      </c>
      <c r="C8" s="176">
        <v>1000.0</v>
      </c>
      <c r="D8" s="176"/>
      <c r="E8" s="176"/>
      <c r="F8" s="177">
        <f t="shared" si="1"/>
        <v>3313</v>
      </c>
    </row>
    <row r="9" ht="13.5" customHeight="1">
      <c r="A9" s="203">
        <v>43473.0</v>
      </c>
      <c r="B9" s="176">
        <v>496.0</v>
      </c>
      <c r="C9" s="176"/>
      <c r="D9" s="176"/>
      <c r="E9" s="176">
        <v>82.0</v>
      </c>
      <c r="F9" s="177">
        <f t="shared" si="1"/>
        <v>578</v>
      </c>
    </row>
    <row r="10" ht="13.5" customHeight="1">
      <c r="A10" s="203">
        <v>43474.0</v>
      </c>
      <c r="B10" s="176">
        <f>467+108</f>
        <v>575</v>
      </c>
      <c r="C10" s="176"/>
      <c r="D10" s="176"/>
      <c r="E10" s="176"/>
      <c r="F10" s="177">
        <f t="shared" si="1"/>
        <v>575</v>
      </c>
    </row>
    <row r="11" ht="13.5" customHeight="1">
      <c r="A11" s="203">
        <v>43475.0</v>
      </c>
      <c r="B11" s="176">
        <v>641.0</v>
      </c>
      <c r="C11" s="176">
        <v>2000.0</v>
      </c>
      <c r="D11" s="176"/>
      <c r="E11" s="176"/>
      <c r="F11" s="177">
        <f t="shared" si="1"/>
        <v>2641</v>
      </c>
    </row>
    <row r="12" ht="13.5" customHeight="1">
      <c r="A12" s="203">
        <v>43476.0</v>
      </c>
      <c r="B12" s="176">
        <f>700+160</f>
        <v>860</v>
      </c>
      <c r="C12" s="176"/>
      <c r="D12" s="176"/>
      <c r="E12" s="176">
        <v>2073.0</v>
      </c>
      <c r="F12" s="177">
        <f t="shared" si="1"/>
        <v>2933</v>
      </c>
    </row>
    <row r="13" ht="13.5" customHeight="1">
      <c r="A13" s="203">
        <v>43477.0</v>
      </c>
      <c r="B13" s="176">
        <f>620+4047</f>
        <v>4667</v>
      </c>
      <c r="C13" s="176"/>
      <c r="D13" s="176"/>
      <c r="E13" s="176"/>
      <c r="F13" s="177">
        <f t="shared" si="1"/>
        <v>4667</v>
      </c>
    </row>
    <row r="14" ht="13.5" customHeight="1">
      <c r="A14" s="203">
        <v>43478.0</v>
      </c>
      <c r="B14" s="176">
        <v>600.0</v>
      </c>
      <c r="C14" s="176"/>
      <c r="D14" s="176"/>
      <c r="E14" s="176">
        <v>7611.0</v>
      </c>
      <c r="F14" s="177">
        <f t="shared" si="1"/>
        <v>8211</v>
      </c>
    </row>
    <row r="15" ht="13.5" customHeight="1">
      <c r="A15" s="203">
        <v>43479.0</v>
      </c>
      <c r="B15" s="176"/>
      <c r="C15" s="176"/>
      <c r="D15" s="176"/>
      <c r="E15" s="176"/>
      <c r="F15" s="177">
        <f t="shared" si="1"/>
        <v>0</v>
      </c>
    </row>
    <row r="16" ht="13.5" customHeight="1">
      <c r="A16" s="203">
        <v>43480.0</v>
      </c>
      <c r="B16" s="176">
        <f>324+371</f>
        <v>695</v>
      </c>
      <c r="C16" s="176"/>
      <c r="D16" s="176">
        <f>19.99*16.17</f>
        <v>323.2383</v>
      </c>
      <c r="E16" s="176"/>
      <c r="F16" s="177">
        <f t="shared" si="1"/>
        <v>1018.2383</v>
      </c>
    </row>
    <row r="17" ht="13.5" customHeight="1">
      <c r="A17" s="203">
        <v>43481.0</v>
      </c>
      <c r="B17" s="176">
        <f>432+1928</f>
        <v>2360</v>
      </c>
      <c r="C17" s="176"/>
      <c r="D17" s="176">
        <f>(0.99+1.99+2.99+2.99)*16.17</f>
        <v>144.8832</v>
      </c>
      <c r="E17" s="176"/>
      <c r="F17" s="177">
        <f t="shared" si="1"/>
        <v>2504.8832</v>
      </c>
    </row>
    <row r="18" ht="13.5" customHeight="1">
      <c r="A18" s="203">
        <v>43482.0</v>
      </c>
      <c r="B18" s="176"/>
      <c r="C18" s="176"/>
      <c r="D18" s="176"/>
      <c r="E18" s="176"/>
      <c r="F18" s="177">
        <f t="shared" si="1"/>
        <v>0</v>
      </c>
    </row>
    <row r="19" ht="13.5" customHeight="1">
      <c r="A19" s="203">
        <v>43483.0</v>
      </c>
      <c r="B19" s="176">
        <v>336.0</v>
      </c>
      <c r="C19" s="176">
        <v>900.0</v>
      </c>
      <c r="D19" s="176">
        <v>7490.0</v>
      </c>
      <c r="E19" s="176">
        <v>4920.0</v>
      </c>
      <c r="F19" s="177">
        <f t="shared" si="1"/>
        <v>13646</v>
      </c>
    </row>
    <row r="20" ht="13.5" customHeight="1">
      <c r="A20" s="203">
        <v>43484.0</v>
      </c>
      <c r="B20" s="176"/>
      <c r="C20" s="176"/>
      <c r="D20" s="176">
        <v>432.0</v>
      </c>
      <c r="E20" s="176">
        <v>82.0</v>
      </c>
      <c r="F20" s="177">
        <f t="shared" si="1"/>
        <v>514</v>
      </c>
    </row>
    <row r="21" ht="13.5" customHeight="1">
      <c r="A21" s="203">
        <v>43485.0</v>
      </c>
      <c r="B21" s="176">
        <v>2000.0</v>
      </c>
      <c r="C21" s="176">
        <f>1000+900</f>
        <v>1900</v>
      </c>
      <c r="D21" s="176"/>
      <c r="E21" s="176"/>
      <c r="F21" s="177">
        <f t="shared" si="1"/>
        <v>3900</v>
      </c>
    </row>
    <row r="22" ht="13.5" customHeight="1">
      <c r="A22" s="203">
        <v>43486.0</v>
      </c>
      <c r="B22" s="176">
        <v>204.0</v>
      </c>
      <c r="C22" s="176"/>
      <c r="D22" s="176">
        <v>409.0</v>
      </c>
      <c r="E22" s="176"/>
      <c r="F22" s="177">
        <f t="shared" si="1"/>
        <v>613</v>
      </c>
    </row>
    <row r="23" ht="13.5" customHeight="1">
      <c r="A23" s="203">
        <v>43487.0</v>
      </c>
      <c r="B23" s="176">
        <f>108+334+108</f>
        <v>550</v>
      </c>
      <c r="C23" s="176"/>
      <c r="D23" s="176">
        <f>2.99*16.17</f>
        <v>48.3483</v>
      </c>
      <c r="E23" s="176"/>
      <c r="F23" s="177">
        <f t="shared" si="1"/>
        <v>598.3483</v>
      </c>
    </row>
    <row r="24" ht="13.5" customHeight="1">
      <c r="A24" s="203">
        <v>43488.0</v>
      </c>
      <c r="B24" s="176">
        <v>1200.0</v>
      </c>
      <c r="C24" s="176"/>
      <c r="D24" s="176"/>
      <c r="E24" s="176"/>
      <c r="F24" s="177">
        <f t="shared" si="1"/>
        <v>1200</v>
      </c>
    </row>
    <row r="25" ht="13.5" customHeight="1">
      <c r="A25" s="203">
        <v>43489.0</v>
      </c>
      <c r="B25" s="176">
        <f>489+320+113</f>
        <v>922</v>
      </c>
      <c r="C25" s="176">
        <v>2000.0</v>
      </c>
      <c r="D25" s="176"/>
      <c r="E25" s="176"/>
      <c r="F25" s="177">
        <f t="shared" si="1"/>
        <v>2922</v>
      </c>
    </row>
    <row r="26" ht="13.5" customHeight="1">
      <c r="A26" s="203">
        <v>43490.0</v>
      </c>
      <c r="B26" s="176"/>
      <c r="C26" s="176"/>
      <c r="D26" s="176"/>
      <c r="E26" s="176">
        <f>950+1000</f>
        <v>1950</v>
      </c>
      <c r="F26" s="177">
        <f t="shared" si="1"/>
        <v>1950</v>
      </c>
    </row>
    <row r="27" ht="13.5" customHeight="1">
      <c r="A27" s="203">
        <v>43491.0</v>
      </c>
      <c r="B27" s="176">
        <v>847.0</v>
      </c>
      <c r="C27" s="176"/>
      <c r="D27" s="176"/>
      <c r="E27" s="176"/>
      <c r="F27" s="177">
        <f t="shared" si="1"/>
        <v>847</v>
      </c>
    </row>
    <row r="28" ht="13.5" customHeight="1">
      <c r="A28" s="203">
        <v>43492.0</v>
      </c>
      <c r="B28" s="176"/>
      <c r="C28" s="176"/>
      <c r="D28" s="176"/>
      <c r="E28" s="176"/>
      <c r="F28" s="177">
        <f t="shared" si="1"/>
        <v>0</v>
      </c>
    </row>
    <row r="29" ht="13.5" customHeight="1">
      <c r="A29" s="203">
        <v>43493.0</v>
      </c>
      <c r="B29" s="176">
        <v>1150.0</v>
      </c>
      <c r="C29" s="176">
        <v>1000.0</v>
      </c>
      <c r="D29" s="176"/>
      <c r="E29" s="176">
        <f>(583+540+648)+600</f>
        <v>2371</v>
      </c>
      <c r="F29" s="177">
        <f t="shared" si="1"/>
        <v>4521</v>
      </c>
    </row>
    <row r="30" ht="13.5" customHeight="1">
      <c r="A30" s="203">
        <v>43494.0</v>
      </c>
      <c r="B30" s="176">
        <f>400+566</f>
        <v>966</v>
      </c>
      <c r="C30" s="176"/>
      <c r="D30" s="176"/>
      <c r="E30" s="176"/>
      <c r="F30" s="177">
        <f t="shared" si="1"/>
        <v>966</v>
      </c>
    </row>
    <row r="31" ht="13.5" customHeight="1">
      <c r="A31" s="203">
        <v>43495.0</v>
      </c>
      <c r="B31" s="176">
        <f>2300+324+335</f>
        <v>2959</v>
      </c>
      <c r="C31" s="176"/>
      <c r="D31" s="176"/>
      <c r="E31" s="176"/>
      <c r="F31" s="177">
        <f t="shared" si="1"/>
        <v>2959</v>
      </c>
    </row>
    <row r="32" ht="13.5" customHeight="1">
      <c r="A32" s="203">
        <v>43496.0</v>
      </c>
      <c r="B32" s="176">
        <f>(623+1000)+(350+4300+700+2519)</f>
        <v>9492</v>
      </c>
      <c r="C32" s="176">
        <f>3080+4410</f>
        <v>7490</v>
      </c>
      <c r="E32" s="176">
        <f>(3600+3000)+14500+2000+4257</f>
        <v>27357</v>
      </c>
      <c r="F32" s="177">
        <f t="shared" si="1"/>
        <v>44339</v>
      </c>
    </row>
    <row r="33" ht="13.5" customHeight="1">
      <c r="A33" s="182" t="s">
        <v>399</v>
      </c>
      <c r="B33" s="177">
        <f t="shared" ref="B33:E33" si="2">SUM(B2:B32)</f>
        <v>48679</v>
      </c>
      <c r="C33" s="177">
        <f t="shared" si="2"/>
        <v>17290</v>
      </c>
      <c r="D33" s="177">
        <f t="shared" si="2"/>
        <v>43352.4698</v>
      </c>
      <c r="E33" s="177">
        <f t="shared" si="2"/>
        <v>53616</v>
      </c>
      <c r="F33" s="177">
        <f t="shared" si="1"/>
        <v>162937.4698</v>
      </c>
    </row>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2"/>
  <legacyDrawing r:id="rId3"/>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ht="13.5" customHeight="1">
      <c r="A1" s="172"/>
      <c r="B1" s="173" t="s">
        <v>63</v>
      </c>
      <c r="C1" s="173" t="s">
        <v>64</v>
      </c>
      <c r="D1" s="173" t="s">
        <v>24</v>
      </c>
      <c r="E1" s="173" t="s">
        <v>121</v>
      </c>
      <c r="F1" s="173" t="s">
        <v>10</v>
      </c>
    </row>
    <row r="2" ht="13.5" customHeight="1">
      <c r="A2" s="203">
        <v>43435.0</v>
      </c>
      <c r="B2" s="176">
        <v>685.0</v>
      </c>
      <c r="C2" s="176"/>
      <c r="D2" s="176">
        <v>1814.0</v>
      </c>
      <c r="E2" s="176">
        <v>1100.0</v>
      </c>
      <c r="F2" s="177">
        <f t="shared" ref="F2:F33" si="1">SUM(B2:E2)</f>
        <v>3599</v>
      </c>
    </row>
    <row r="3" ht="13.5" customHeight="1">
      <c r="A3" s="203">
        <v>43436.0</v>
      </c>
      <c r="B3" s="176">
        <f>1814+753</f>
        <v>2567</v>
      </c>
      <c r="C3" s="176">
        <f>3000-974</f>
        <v>2026</v>
      </c>
      <c r="D3" s="176"/>
      <c r="E3" s="176">
        <f>100+100+105</f>
        <v>305</v>
      </c>
      <c r="F3" s="177">
        <f t="shared" si="1"/>
        <v>4898</v>
      </c>
    </row>
    <row r="4" ht="13.5" customHeight="1">
      <c r="A4" s="203">
        <v>43437.0</v>
      </c>
      <c r="B4" s="176">
        <f>474+974+152</f>
        <v>1600</v>
      </c>
      <c r="C4" s="176"/>
      <c r="D4" s="176">
        <v>8678.0</v>
      </c>
      <c r="E4" s="176"/>
      <c r="F4" s="177">
        <f t="shared" si="1"/>
        <v>10278</v>
      </c>
    </row>
    <row r="5" ht="13.5" customHeight="1">
      <c r="A5" s="203">
        <v>43438.0</v>
      </c>
      <c r="B5" s="176">
        <f>432</f>
        <v>432</v>
      </c>
      <c r="C5" s="176"/>
      <c r="D5" s="176"/>
      <c r="E5" s="176"/>
      <c r="F5" s="177">
        <f t="shared" si="1"/>
        <v>432</v>
      </c>
    </row>
    <row r="6" ht="13.5" customHeight="1">
      <c r="A6" s="203">
        <v>43439.0</v>
      </c>
      <c r="B6" s="176">
        <f>116+648+108+168</f>
        <v>1040</v>
      </c>
      <c r="C6" s="176"/>
      <c r="D6" s="176"/>
      <c r="E6" s="176">
        <v>1500.0</v>
      </c>
      <c r="F6" s="177">
        <f t="shared" si="1"/>
        <v>2540</v>
      </c>
    </row>
    <row r="7" ht="13.5" customHeight="1">
      <c r="A7" s="203">
        <v>43440.0</v>
      </c>
      <c r="B7" s="176">
        <f>1624+609</f>
        <v>2233</v>
      </c>
      <c r="C7" s="176"/>
      <c r="D7" s="176"/>
      <c r="E7" s="176"/>
      <c r="F7" s="177">
        <f t="shared" si="1"/>
        <v>2233</v>
      </c>
    </row>
    <row r="8" ht="13.5" customHeight="1">
      <c r="A8" s="203">
        <v>43441.0</v>
      </c>
      <c r="B8" s="176">
        <f>317</f>
        <v>317</v>
      </c>
      <c r="C8" s="176"/>
      <c r="D8" s="176"/>
      <c r="E8" s="176">
        <f>3780+(7980+3780+870-10000)</f>
        <v>6410</v>
      </c>
      <c r="F8" s="177">
        <f t="shared" si="1"/>
        <v>6727</v>
      </c>
    </row>
    <row r="9" ht="13.5" customHeight="1">
      <c r="A9" s="203">
        <v>43442.0</v>
      </c>
      <c r="B9" s="176"/>
      <c r="C9" s="176"/>
      <c r="D9" s="176"/>
      <c r="E9" s="176">
        <v>880.0</v>
      </c>
      <c r="F9" s="177">
        <f t="shared" si="1"/>
        <v>880</v>
      </c>
    </row>
    <row r="10" ht="13.5" customHeight="1">
      <c r="A10" s="203">
        <v>43443.0</v>
      </c>
      <c r="B10" s="176"/>
      <c r="C10" s="176">
        <v>600.0</v>
      </c>
      <c r="D10" s="176"/>
      <c r="E10" s="176">
        <f>248+200</f>
        <v>448</v>
      </c>
      <c r="F10" s="177">
        <f t="shared" si="1"/>
        <v>1048</v>
      </c>
    </row>
    <row r="11" ht="13.5" customHeight="1">
      <c r="A11" s="203">
        <v>43444.0</v>
      </c>
      <c r="B11" s="176">
        <f>371+610</f>
        <v>981</v>
      </c>
      <c r="C11" s="176"/>
      <c r="D11" s="176"/>
      <c r="E11" s="176"/>
      <c r="F11" s="177">
        <f t="shared" si="1"/>
        <v>981</v>
      </c>
    </row>
    <row r="12" ht="13.5" customHeight="1">
      <c r="A12" s="203">
        <v>43445.0</v>
      </c>
      <c r="B12" s="176">
        <f>609+714</f>
        <v>1323</v>
      </c>
      <c r="C12" s="176"/>
      <c r="D12" s="176">
        <v>324.0</v>
      </c>
      <c r="E12" s="176"/>
      <c r="F12" s="177">
        <f t="shared" si="1"/>
        <v>1647</v>
      </c>
    </row>
    <row r="13" ht="13.5" customHeight="1">
      <c r="A13" s="203">
        <v>43446.0</v>
      </c>
      <c r="B13" s="176">
        <f>550</f>
        <v>550</v>
      </c>
      <c r="C13" s="176">
        <v>2000.0</v>
      </c>
      <c r="D13" s="176">
        <v>864.0</v>
      </c>
      <c r="E13" s="176">
        <v>289.0</v>
      </c>
      <c r="F13" s="177">
        <f t="shared" si="1"/>
        <v>3703</v>
      </c>
    </row>
    <row r="14" ht="13.5" customHeight="1">
      <c r="A14" s="203">
        <v>43447.0</v>
      </c>
      <c r="B14" s="176">
        <f>544+160+643</f>
        <v>1347</v>
      </c>
      <c r="C14" s="176"/>
      <c r="D14" s="176">
        <v>565.0</v>
      </c>
      <c r="E14" s="176">
        <v>540.0</v>
      </c>
      <c r="F14" s="177">
        <f t="shared" si="1"/>
        <v>2452</v>
      </c>
    </row>
    <row r="15" ht="13.5" customHeight="1">
      <c r="A15" s="203">
        <v>43448.0</v>
      </c>
      <c r="B15" s="176">
        <f>651+240+100+372</f>
        <v>1363</v>
      </c>
      <c r="C15" s="176"/>
      <c r="D15" s="176"/>
      <c r="E15" s="176"/>
      <c r="F15" s="177">
        <f t="shared" si="1"/>
        <v>1363</v>
      </c>
    </row>
    <row r="16" ht="13.5" customHeight="1">
      <c r="A16" s="203">
        <v>43449.0</v>
      </c>
      <c r="B16" s="176">
        <f>1136</f>
        <v>1136</v>
      </c>
      <c r="C16" s="176"/>
      <c r="D16" s="176"/>
      <c r="E16" s="176"/>
      <c r="F16" s="177">
        <f t="shared" si="1"/>
        <v>1136</v>
      </c>
    </row>
    <row r="17" ht="13.5" customHeight="1">
      <c r="A17" s="203">
        <v>43450.0</v>
      </c>
      <c r="B17" s="176">
        <f>120+480+198</f>
        <v>798</v>
      </c>
      <c r="C17" s="176"/>
      <c r="D17" s="176">
        <f>(1.49+9.99)*16.17</f>
        <v>185.6316</v>
      </c>
      <c r="E17" s="176"/>
      <c r="F17" s="177">
        <f t="shared" si="1"/>
        <v>983.6316</v>
      </c>
    </row>
    <row r="18" ht="13.5" customHeight="1">
      <c r="A18" s="203">
        <v>43451.0</v>
      </c>
      <c r="B18" s="176">
        <v>3300.0</v>
      </c>
      <c r="C18" s="176">
        <v>900.0</v>
      </c>
      <c r="D18" s="176"/>
      <c r="E18" s="176"/>
      <c r="F18" s="177">
        <f t="shared" si="1"/>
        <v>4200</v>
      </c>
    </row>
    <row r="19" ht="13.5" customHeight="1">
      <c r="A19" s="203">
        <v>43452.0</v>
      </c>
      <c r="B19" s="176">
        <f>571+366+785</f>
        <v>1722</v>
      </c>
      <c r="C19" s="176"/>
      <c r="D19" s="176"/>
      <c r="E19" s="176"/>
      <c r="F19" s="177">
        <f t="shared" si="1"/>
        <v>1722</v>
      </c>
    </row>
    <row r="20" ht="13.5" customHeight="1">
      <c r="A20" s="203">
        <v>43453.0</v>
      </c>
      <c r="B20" s="176">
        <v>566.0</v>
      </c>
      <c r="C20" s="176"/>
      <c r="D20" s="176">
        <v>645.0</v>
      </c>
      <c r="E20" s="176">
        <v>108.0</v>
      </c>
      <c r="F20" s="177">
        <f t="shared" si="1"/>
        <v>1319</v>
      </c>
    </row>
    <row r="21" ht="13.5" customHeight="1">
      <c r="A21" s="203">
        <v>43454.0</v>
      </c>
      <c r="B21" s="176">
        <f>609+265+2484</f>
        <v>3358</v>
      </c>
      <c r="C21" s="176"/>
      <c r="D21" s="176"/>
      <c r="E21" s="176"/>
      <c r="F21" s="177">
        <f t="shared" si="1"/>
        <v>3358</v>
      </c>
    </row>
    <row r="22" ht="13.5" customHeight="1">
      <c r="A22" s="203">
        <v>43455.0</v>
      </c>
      <c r="B22" s="176">
        <f>285+410+1045</f>
        <v>1740</v>
      </c>
      <c r="C22" s="176"/>
      <c r="D22" s="176">
        <v>355.0</v>
      </c>
      <c r="E22" s="176">
        <v>200.0</v>
      </c>
      <c r="F22" s="177">
        <f t="shared" si="1"/>
        <v>2295</v>
      </c>
    </row>
    <row r="23" ht="13.5" customHeight="1">
      <c r="A23" s="203">
        <v>43456.0</v>
      </c>
      <c r="B23" s="176">
        <f>789+427</f>
        <v>1216</v>
      </c>
      <c r="C23" s="176">
        <f>900+3490+2000</f>
        <v>6390</v>
      </c>
      <c r="D23" s="176"/>
      <c r="E23" s="176"/>
      <c r="F23" s="177">
        <f t="shared" si="1"/>
        <v>7606</v>
      </c>
    </row>
    <row r="24" ht="13.5" customHeight="1">
      <c r="A24" s="203">
        <v>43457.0</v>
      </c>
      <c r="B24" s="176">
        <f>1103+273</f>
        <v>1376</v>
      </c>
      <c r="C24" s="176"/>
      <c r="D24" s="176">
        <f>11.79*16.17</f>
        <v>190.6443</v>
      </c>
      <c r="E24" s="176"/>
      <c r="F24" s="177">
        <f t="shared" si="1"/>
        <v>1566.6443</v>
      </c>
    </row>
    <row r="25" ht="13.5" customHeight="1">
      <c r="A25" s="203">
        <v>43458.0</v>
      </c>
      <c r="B25" s="176">
        <f>598+1114+1566</f>
        <v>3278</v>
      </c>
      <c r="C25" s="176"/>
      <c r="D25" s="176"/>
      <c r="E25" s="176"/>
      <c r="F25" s="177">
        <f t="shared" si="1"/>
        <v>3278</v>
      </c>
    </row>
    <row r="26" ht="13.5" customHeight="1">
      <c r="A26" s="203">
        <v>43459.0</v>
      </c>
      <c r="B26" s="176">
        <f>598+2731</f>
        <v>3329</v>
      </c>
      <c r="C26" s="176"/>
      <c r="D26" s="176"/>
      <c r="E26" s="176">
        <f>1290+324</f>
        <v>1614</v>
      </c>
      <c r="F26" s="177">
        <f t="shared" si="1"/>
        <v>4943</v>
      </c>
    </row>
    <row r="27" ht="13.5" customHeight="1">
      <c r="A27" s="203">
        <v>43460.0</v>
      </c>
      <c r="B27" s="176">
        <v>1380.0</v>
      </c>
      <c r="C27" s="176">
        <v>900.0</v>
      </c>
      <c r="D27" s="176"/>
      <c r="E27" s="176">
        <f>1000+7560</f>
        <v>8560</v>
      </c>
      <c r="F27" s="177">
        <f t="shared" si="1"/>
        <v>10840</v>
      </c>
    </row>
    <row r="28" ht="13.5" customHeight="1">
      <c r="A28" s="203">
        <v>43461.0</v>
      </c>
      <c r="B28" s="176">
        <f>118+380</f>
        <v>498</v>
      </c>
      <c r="C28" s="176"/>
      <c r="D28" s="176"/>
      <c r="E28" s="176"/>
      <c r="F28" s="177">
        <f t="shared" si="1"/>
        <v>498</v>
      </c>
    </row>
    <row r="29" ht="13.5" customHeight="1">
      <c r="A29" s="203">
        <v>43462.0</v>
      </c>
      <c r="B29" s="176"/>
      <c r="C29" s="176"/>
      <c r="D29" s="176"/>
      <c r="E29" s="176"/>
      <c r="F29" s="177">
        <f t="shared" si="1"/>
        <v>0</v>
      </c>
    </row>
    <row r="30" ht="13.5" customHeight="1">
      <c r="A30" s="203">
        <v>43463.0</v>
      </c>
      <c r="B30" s="176"/>
      <c r="C30" s="176"/>
      <c r="D30" s="176"/>
      <c r="E30" s="176">
        <v>972.0</v>
      </c>
      <c r="F30" s="177">
        <f t="shared" si="1"/>
        <v>972</v>
      </c>
    </row>
    <row r="31" ht="13.5" customHeight="1">
      <c r="A31" s="203">
        <v>43464.0</v>
      </c>
      <c r="B31" s="176">
        <f>248+99+211</f>
        <v>558</v>
      </c>
      <c r="C31" s="176">
        <v>2000.0</v>
      </c>
      <c r="D31" s="176"/>
      <c r="E31" s="176"/>
      <c r="F31" s="177">
        <f t="shared" si="1"/>
        <v>2558</v>
      </c>
    </row>
    <row r="32" ht="13.5" customHeight="1">
      <c r="A32" s="203">
        <v>43465.0</v>
      </c>
      <c r="B32" s="176">
        <v>319.0</v>
      </c>
      <c r="C32" s="176">
        <f>(1000.9+2000.9+1000.9)+170</f>
        <v>4172.7</v>
      </c>
      <c r="D32" s="176"/>
      <c r="E32" s="176">
        <f>(3200+3300)+(2500+3133)+1600+1600+1600+4235+14500</f>
        <v>35668</v>
      </c>
      <c r="F32" s="177">
        <f t="shared" si="1"/>
        <v>40159.7</v>
      </c>
    </row>
    <row r="33" ht="13.5" customHeight="1">
      <c r="A33" s="182" t="s">
        <v>399</v>
      </c>
      <c r="B33" s="177">
        <f t="shared" ref="B33:E33" si="2">SUM(B2:B32)</f>
        <v>39012</v>
      </c>
      <c r="C33" s="177">
        <f t="shared" si="2"/>
        <v>18988.7</v>
      </c>
      <c r="D33" s="177">
        <f t="shared" si="2"/>
        <v>13621.2759</v>
      </c>
      <c r="E33" s="177">
        <f t="shared" si="2"/>
        <v>58594</v>
      </c>
      <c r="F33" s="177">
        <f t="shared" si="1"/>
        <v>130215.9759</v>
      </c>
    </row>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2"/>
  <legacyDrawing r:id="rId3"/>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6" width="7.88"/>
    <col customWidth="1" min="7" max="26" width="7.63"/>
  </cols>
  <sheetData>
    <row r="1" ht="13.5" customHeight="1">
      <c r="A1" s="172"/>
      <c r="B1" s="173" t="s">
        <v>63</v>
      </c>
      <c r="C1" s="173" t="s">
        <v>64</v>
      </c>
      <c r="D1" s="173" t="s">
        <v>24</v>
      </c>
      <c r="E1" s="173" t="s">
        <v>121</v>
      </c>
      <c r="F1" s="173" t="s">
        <v>10</v>
      </c>
    </row>
    <row r="2" ht="13.5" customHeight="1">
      <c r="A2" s="203">
        <v>43405.0</v>
      </c>
      <c r="B2" s="177">
        <f>215+378</f>
        <v>593</v>
      </c>
      <c r="C2" s="177"/>
      <c r="D2" s="177">
        <v>1620.0</v>
      </c>
      <c r="E2" s="177"/>
      <c r="F2" s="177">
        <f t="shared" ref="F2:F32" si="1">SUM(B2:E2)</f>
        <v>2213</v>
      </c>
    </row>
    <row r="3" ht="13.5" customHeight="1">
      <c r="A3" s="203">
        <v>43406.0</v>
      </c>
      <c r="B3" s="177">
        <f>345+4009</f>
        <v>4354</v>
      </c>
      <c r="C3" s="177">
        <v>2000.0</v>
      </c>
      <c r="D3" s="177"/>
      <c r="E3" s="177"/>
      <c r="F3" s="177">
        <f t="shared" si="1"/>
        <v>6354</v>
      </c>
    </row>
    <row r="4" ht="13.5" customHeight="1">
      <c r="A4" s="203">
        <v>43407.0</v>
      </c>
      <c r="B4" s="177">
        <f>523+499</f>
        <v>1022</v>
      </c>
      <c r="C4" s="177"/>
      <c r="D4" s="177"/>
      <c r="E4" s="177">
        <f>105+325</f>
        <v>430</v>
      </c>
      <c r="F4" s="177">
        <f t="shared" si="1"/>
        <v>1452</v>
      </c>
    </row>
    <row r="5" ht="13.5" customHeight="1">
      <c r="A5" s="203">
        <v>43408.0</v>
      </c>
      <c r="B5" s="177">
        <f>298</f>
        <v>298</v>
      </c>
      <c r="C5" s="177"/>
      <c r="D5" s="177">
        <v>3225.0</v>
      </c>
      <c r="E5" s="177">
        <f>200+972</f>
        <v>1172</v>
      </c>
      <c r="F5" s="177">
        <f t="shared" si="1"/>
        <v>4695</v>
      </c>
    </row>
    <row r="6" ht="13.5" customHeight="1">
      <c r="A6" s="203">
        <v>43409.0</v>
      </c>
      <c r="B6" s="177">
        <v>851.0</v>
      </c>
      <c r="C6" s="177"/>
      <c r="D6" s="177"/>
      <c r="E6" s="177">
        <f>200+127</f>
        <v>327</v>
      </c>
      <c r="F6" s="177">
        <f t="shared" si="1"/>
        <v>1178</v>
      </c>
    </row>
    <row r="7" ht="13.5" customHeight="1">
      <c r="A7" s="203">
        <v>43410.0</v>
      </c>
      <c r="B7" s="177"/>
      <c r="C7" s="177"/>
      <c r="D7" s="177"/>
      <c r="E7" s="177"/>
      <c r="F7" s="177">
        <f t="shared" si="1"/>
        <v>0</v>
      </c>
    </row>
    <row r="8" ht="13.5" customHeight="1">
      <c r="A8" s="203">
        <v>43411.0</v>
      </c>
      <c r="B8" s="177">
        <f>180+345+2580</f>
        <v>3105</v>
      </c>
      <c r="C8" s="177">
        <f>5000-1054-1998</f>
        <v>1948</v>
      </c>
      <c r="D8" s="177"/>
      <c r="E8" s="177">
        <v>100.0</v>
      </c>
      <c r="F8" s="177">
        <f t="shared" si="1"/>
        <v>5153</v>
      </c>
    </row>
    <row r="9" ht="13.5" customHeight="1">
      <c r="A9" s="203">
        <v>43412.0</v>
      </c>
      <c r="B9" s="177">
        <f>128+631</f>
        <v>759</v>
      </c>
      <c r="C9" s="177"/>
      <c r="D9" s="177">
        <v>1279.0</v>
      </c>
      <c r="E9" s="177">
        <f>300+105</f>
        <v>405</v>
      </c>
      <c r="F9" s="177">
        <f t="shared" si="1"/>
        <v>2443</v>
      </c>
    </row>
    <row r="10" ht="13.5" customHeight="1">
      <c r="A10" s="203">
        <v>43413.0</v>
      </c>
      <c r="B10" s="177">
        <f>100+496+1000</f>
        <v>1596</v>
      </c>
      <c r="C10" s="177"/>
      <c r="D10" s="177">
        <f>(12*16)</f>
        <v>192</v>
      </c>
      <c r="E10" s="177"/>
      <c r="F10" s="177">
        <f t="shared" si="1"/>
        <v>1788</v>
      </c>
    </row>
    <row r="11" ht="13.5" customHeight="1">
      <c r="A11" s="203">
        <v>43414.0</v>
      </c>
      <c r="B11" s="177">
        <f>100+1000+1274+680</f>
        <v>3054</v>
      </c>
      <c r="C11" s="177">
        <v>900.0</v>
      </c>
      <c r="D11" s="177"/>
      <c r="E11" s="177"/>
      <c r="F11" s="177">
        <f t="shared" si="1"/>
        <v>3954</v>
      </c>
    </row>
    <row r="12" ht="13.5" customHeight="1">
      <c r="A12" s="203">
        <v>43415.0</v>
      </c>
      <c r="B12" s="177">
        <f>170+690+683</f>
        <v>1543</v>
      </c>
      <c r="C12" s="177"/>
      <c r="D12" s="177"/>
      <c r="E12" s="177"/>
      <c r="F12" s="177">
        <f t="shared" si="1"/>
        <v>1543</v>
      </c>
    </row>
    <row r="13" ht="13.5" customHeight="1">
      <c r="A13" s="203">
        <v>43416.0</v>
      </c>
      <c r="B13" s="177">
        <f>128+1054+1998</f>
        <v>3180</v>
      </c>
      <c r="C13" s="177"/>
      <c r="D13" s="177"/>
      <c r="E13" s="177"/>
      <c r="F13" s="177">
        <f t="shared" si="1"/>
        <v>3180</v>
      </c>
    </row>
    <row r="14" ht="13.5" customHeight="1">
      <c r="A14" s="203">
        <v>43417.0</v>
      </c>
      <c r="B14" s="177">
        <f>120+1213</f>
        <v>1333</v>
      </c>
      <c r="C14" s="177"/>
      <c r="D14" s="177">
        <v>405.0</v>
      </c>
      <c r="E14" s="177"/>
      <c r="F14" s="177">
        <f t="shared" si="1"/>
        <v>1738</v>
      </c>
    </row>
    <row r="15" ht="13.5" customHeight="1">
      <c r="A15" s="203">
        <v>43418.0</v>
      </c>
      <c r="B15" s="177">
        <f>116+220+544</f>
        <v>880</v>
      </c>
      <c r="C15" s="177"/>
      <c r="D15" s="177">
        <v>518.0</v>
      </c>
      <c r="E15" s="177">
        <f>108</f>
        <v>108</v>
      </c>
      <c r="F15" s="177">
        <f t="shared" si="1"/>
        <v>1506</v>
      </c>
    </row>
    <row r="16" ht="13.5" customHeight="1">
      <c r="A16" s="203">
        <v>43419.0</v>
      </c>
      <c r="B16" s="177">
        <v>621.0</v>
      </c>
      <c r="C16" s="177"/>
      <c r="D16" s="177"/>
      <c r="E16" s="177"/>
      <c r="F16" s="177">
        <f t="shared" si="1"/>
        <v>621</v>
      </c>
    </row>
    <row r="17" ht="13.5" customHeight="1">
      <c r="A17" s="203">
        <v>43420.0</v>
      </c>
      <c r="B17" s="177">
        <f>170+544</f>
        <v>714</v>
      </c>
      <c r="C17" s="177">
        <f>3000-963+600</f>
        <v>2637</v>
      </c>
      <c r="D17" s="177"/>
      <c r="E17" s="177"/>
      <c r="F17" s="177">
        <f t="shared" si="1"/>
        <v>3351</v>
      </c>
    </row>
    <row r="18" ht="13.5" customHeight="1">
      <c r="A18" s="203">
        <v>43421.0</v>
      </c>
      <c r="B18" s="177">
        <f>135+963+128</f>
        <v>1226</v>
      </c>
      <c r="C18" s="177"/>
      <c r="D18" s="177"/>
      <c r="E18" s="177"/>
      <c r="F18" s="177">
        <f t="shared" si="1"/>
        <v>1226</v>
      </c>
    </row>
    <row r="19" ht="13.5" customHeight="1">
      <c r="A19" s="203">
        <v>43422.0</v>
      </c>
      <c r="B19" s="177">
        <f>1057</f>
        <v>1057</v>
      </c>
      <c r="C19" s="177"/>
      <c r="D19" s="177"/>
      <c r="E19" s="177"/>
      <c r="F19" s="177">
        <f t="shared" si="1"/>
        <v>1057</v>
      </c>
    </row>
    <row r="20" ht="13.5" customHeight="1">
      <c r="A20" s="203">
        <v>43423.0</v>
      </c>
      <c r="B20" s="177">
        <v>564.0</v>
      </c>
      <c r="C20" s="177"/>
      <c r="D20" s="177"/>
      <c r="E20" s="177">
        <v>3745.0</v>
      </c>
      <c r="F20" s="177">
        <f t="shared" si="1"/>
        <v>4309</v>
      </c>
    </row>
    <row r="21" ht="13.5" customHeight="1">
      <c r="A21" s="203">
        <v>43424.0</v>
      </c>
      <c r="B21" s="177">
        <v>434.0</v>
      </c>
      <c r="C21" s="177"/>
      <c r="D21" s="177"/>
      <c r="E21" s="177">
        <v>100.0</v>
      </c>
      <c r="F21" s="177">
        <f t="shared" si="1"/>
        <v>534</v>
      </c>
    </row>
    <row r="22" ht="13.5" customHeight="1">
      <c r="A22" s="203">
        <v>43425.0</v>
      </c>
      <c r="B22" s="177">
        <f>464+812</f>
        <v>1276</v>
      </c>
      <c r="C22" s="177"/>
      <c r="D22" s="177">
        <v>2824.0</v>
      </c>
      <c r="E22" s="177">
        <v>82.0</v>
      </c>
      <c r="F22" s="177">
        <f t="shared" si="1"/>
        <v>4182</v>
      </c>
    </row>
    <row r="23" ht="13.5" customHeight="1">
      <c r="A23" s="203">
        <v>43426.0</v>
      </c>
      <c r="B23" s="177">
        <f>373+670</f>
        <v>1043</v>
      </c>
      <c r="C23" s="177"/>
      <c r="D23" s="177">
        <v>321.0</v>
      </c>
      <c r="E23" s="177">
        <f>50+108+105</f>
        <v>263</v>
      </c>
      <c r="F23" s="177">
        <f t="shared" si="1"/>
        <v>1627</v>
      </c>
    </row>
    <row r="24" ht="13.5" customHeight="1">
      <c r="A24" s="203">
        <v>43427.0</v>
      </c>
      <c r="B24" s="177">
        <f>230+1500+999.9</f>
        <v>2729.9</v>
      </c>
      <c r="C24" s="177">
        <v>900.0</v>
      </c>
      <c r="D24" s="177"/>
      <c r="E24" s="177"/>
      <c r="F24" s="177">
        <f t="shared" si="1"/>
        <v>3629.9</v>
      </c>
    </row>
    <row r="25" ht="13.5" customHeight="1">
      <c r="A25" s="203">
        <v>43428.0</v>
      </c>
      <c r="B25" s="177"/>
      <c r="C25" s="177"/>
      <c r="D25" s="177">
        <v>216.0</v>
      </c>
      <c r="E25" s="177"/>
      <c r="F25" s="177">
        <f t="shared" si="1"/>
        <v>216</v>
      </c>
    </row>
    <row r="26" ht="13.5" customHeight="1">
      <c r="A26" s="203">
        <v>43429.0</v>
      </c>
      <c r="B26" s="177">
        <f>364+950</f>
        <v>1314</v>
      </c>
      <c r="C26" s="177">
        <v>1000.0</v>
      </c>
      <c r="D26" s="177">
        <v>540.0</v>
      </c>
      <c r="E26" s="177">
        <f>1490+1600</f>
        <v>3090</v>
      </c>
      <c r="F26" s="177">
        <f t="shared" si="1"/>
        <v>5944</v>
      </c>
    </row>
    <row r="27" ht="13.5" customHeight="1">
      <c r="A27" s="203">
        <v>43430.0</v>
      </c>
      <c r="B27" s="177">
        <v>1265.0</v>
      </c>
      <c r="C27" s="177"/>
      <c r="D27" s="177">
        <f>429+1367</f>
        <v>1796</v>
      </c>
      <c r="E27" s="177">
        <v>421.0</v>
      </c>
      <c r="F27" s="177">
        <f t="shared" si="1"/>
        <v>3482</v>
      </c>
    </row>
    <row r="28" ht="13.5" customHeight="1">
      <c r="A28" s="203">
        <v>43431.0</v>
      </c>
      <c r="B28" s="177">
        <v>587.0</v>
      </c>
      <c r="C28" s="177">
        <v>2000.0</v>
      </c>
      <c r="D28" s="177">
        <f>19.81*16.17</f>
        <v>320.3277</v>
      </c>
      <c r="E28" s="177">
        <v>264.0</v>
      </c>
      <c r="F28" s="177">
        <f t="shared" si="1"/>
        <v>3171.3277</v>
      </c>
    </row>
    <row r="29" ht="13.5" customHeight="1">
      <c r="A29" s="203">
        <v>43432.0</v>
      </c>
      <c r="B29" s="177">
        <f>522+600</f>
        <v>1122</v>
      </c>
      <c r="C29" s="177"/>
      <c r="D29" s="177"/>
      <c r="E29" s="177">
        <f>100+810</f>
        <v>910</v>
      </c>
      <c r="F29" s="177">
        <f t="shared" si="1"/>
        <v>2032</v>
      </c>
    </row>
    <row r="30" ht="13.5" customHeight="1">
      <c r="A30" s="203">
        <v>43433.0</v>
      </c>
      <c r="B30" s="177">
        <v>1456.0</v>
      </c>
      <c r="C30" s="177"/>
      <c r="D30" s="177"/>
      <c r="E30" s="177"/>
      <c r="F30" s="177">
        <f t="shared" si="1"/>
        <v>1456</v>
      </c>
    </row>
    <row r="31" ht="13.5" customHeight="1">
      <c r="A31" s="203">
        <v>43434.0</v>
      </c>
      <c r="B31" s="177">
        <v>500.0</v>
      </c>
      <c r="C31" s="177"/>
      <c r="D31" s="177"/>
      <c r="E31" s="177">
        <f>1737+1600+14500+4278</f>
        <v>22115</v>
      </c>
      <c r="F31" s="177">
        <f t="shared" si="1"/>
        <v>22615</v>
      </c>
    </row>
    <row r="32" ht="13.5" customHeight="1">
      <c r="A32" s="182" t="s">
        <v>399</v>
      </c>
      <c r="B32" s="177">
        <f t="shared" ref="B32:E32" si="2">SUM(B2:B31)</f>
        <v>38476.9</v>
      </c>
      <c r="C32" s="177">
        <f t="shared" si="2"/>
        <v>11385</v>
      </c>
      <c r="D32" s="177">
        <f t="shared" si="2"/>
        <v>13256.3277</v>
      </c>
      <c r="E32" s="177">
        <f t="shared" si="2"/>
        <v>33532</v>
      </c>
      <c r="F32" s="177">
        <f t="shared" si="1"/>
        <v>96650.2277</v>
      </c>
    </row>
    <row r="33" ht="13.5" customHeight="1">
      <c r="A33" s="182"/>
      <c r="B33" s="177"/>
      <c r="C33" s="177"/>
      <c r="D33" s="177"/>
      <c r="E33" s="177"/>
      <c r="F33" s="177"/>
    </row>
    <row r="34" ht="13.5" customHeight="1">
      <c r="A34" s="182"/>
      <c r="B34" s="205"/>
      <c r="C34" s="205"/>
      <c r="D34" s="205"/>
      <c r="E34" s="205"/>
      <c r="F34" s="205"/>
    </row>
    <row r="35" ht="13.5" customHeight="1">
      <c r="A35" s="182"/>
      <c r="B35" s="205"/>
      <c r="C35" s="205"/>
      <c r="D35" s="205"/>
      <c r="E35" s="205"/>
      <c r="F35" s="205"/>
    </row>
    <row r="36" ht="13.5" customHeight="1">
      <c r="A36" s="182"/>
      <c r="B36" s="205"/>
      <c r="C36" s="205"/>
      <c r="D36" s="205"/>
      <c r="E36" s="205"/>
      <c r="F36" s="205"/>
    </row>
    <row r="37" ht="13.5" customHeight="1">
      <c r="A37" s="182"/>
      <c r="B37" s="205"/>
      <c r="C37" s="205"/>
      <c r="D37" s="205"/>
      <c r="E37" s="205"/>
      <c r="F37" s="205"/>
    </row>
    <row r="38" ht="13.5" customHeight="1">
      <c r="A38" s="182"/>
      <c r="B38" s="205"/>
      <c r="C38" s="205"/>
      <c r="D38" s="205"/>
      <c r="E38" s="205"/>
      <c r="F38" s="205"/>
    </row>
    <row r="39" ht="13.5" customHeight="1">
      <c r="A39" s="182"/>
      <c r="B39" s="205"/>
      <c r="C39" s="205"/>
      <c r="D39" s="205"/>
      <c r="E39" s="205"/>
      <c r="F39" s="205"/>
    </row>
    <row r="40" ht="13.5" customHeight="1">
      <c r="A40" s="182"/>
      <c r="B40" s="205"/>
      <c r="C40" s="205"/>
      <c r="D40" s="205"/>
      <c r="E40" s="205"/>
      <c r="F40" s="205"/>
    </row>
    <row r="41" ht="13.5" customHeight="1">
      <c r="A41" s="182"/>
      <c r="B41" s="205"/>
      <c r="C41" s="205"/>
      <c r="D41" s="205"/>
      <c r="E41" s="205"/>
      <c r="F41" s="205"/>
    </row>
    <row r="42" ht="13.5" customHeight="1">
      <c r="A42" s="182"/>
      <c r="B42" s="205"/>
      <c r="C42" s="205"/>
      <c r="D42" s="205"/>
      <c r="E42" s="205"/>
      <c r="F42" s="205"/>
    </row>
    <row r="43" ht="13.5" customHeight="1">
      <c r="A43" s="182"/>
      <c r="B43" s="205"/>
      <c r="C43" s="205"/>
      <c r="D43" s="205"/>
      <c r="E43" s="205"/>
      <c r="F43" s="205"/>
    </row>
    <row r="44" ht="13.5" customHeight="1">
      <c r="A44" s="182"/>
      <c r="B44" s="205"/>
      <c r="C44" s="205"/>
      <c r="D44" s="205"/>
      <c r="E44" s="205"/>
      <c r="F44" s="205"/>
    </row>
    <row r="45" ht="13.5" customHeight="1">
      <c r="A45" s="182"/>
      <c r="B45" s="205"/>
      <c r="C45" s="205"/>
      <c r="D45" s="205"/>
      <c r="E45" s="205"/>
      <c r="F45" s="205"/>
    </row>
    <row r="46" ht="13.5" customHeight="1">
      <c r="A46" s="182"/>
      <c r="B46" s="205"/>
      <c r="C46" s="205"/>
      <c r="D46" s="205"/>
      <c r="E46" s="205"/>
      <c r="F46" s="205"/>
    </row>
    <row r="47" ht="13.5" customHeight="1">
      <c r="A47" s="182"/>
      <c r="B47" s="205"/>
      <c r="C47" s="205"/>
      <c r="D47" s="205"/>
      <c r="E47" s="205"/>
      <c r="F47" s="205"/>
    </row>
    <row r="48" ht="13.5" customHeight="1">
      <c r="A48" s="182"/>
      <c r="B48" s="205"/>
      <c r="C48" s="205"/>
      <c r="D48" s="205"/>
      <c r="E48" s="205"/>
      <c r="F48" s="205"/>
    </row>
    <row r="49" ht="13.5" customHeight="1">
      <c r="A49" s="182"/>
      <c r="B49" s="205"/>
      <c r="C49" s="205"/>
      <c r="D49" s="205"/>
      <c r="E49" s="205"/>
      <c r="F49" s="205"/>
    </row>
    <row r="50" ht="13.5" customHeight="1">
      <c r="A50" s="182"/>
      <c r="B50" s="205"/>
      <c r="C50" s="205"/>
      <c r="D50" s="205"/>
      <c r="E50" s="205"/>
      <c r="F50" s="205"/>
    </row>
    <row r="51" ht="13.5" customHeight="1">
      <c r="A51" s="182"/>
      <c r="B51" s="205"/>
      <c r="C51" s="205"/>
      <c r="D51" s="205"/>
      <c r="E51" s="205"/>
      <c r="F51" s="205"/>
    </row>
    <row r="52" ht="13.5" customHeight="1">
      <c r="A52" s="182"/>
      <c r="B52" s="205"/>
      <c r="C52" s="205"/>
      <c r="D52" s="205"/>
      <c r="E52" s="205"/>
      <c r="F52" s="205"/>
    </row>
    <row r="53" ht="13.5" customHeight="1">
      <c r="A53" s="182"/>
      <c r="B53" s="205"/>
      <c r="C53" s="205"/>
      <c r="D53" s="205"/>
      <c r="E53" s="205"/>
      <c r="F53" s="205"/>
    </row>
    <row r="54" ht="13.5" customHeight="1">
      <c r="A54" s="182"/>
      <c r="B54" s="205"/>
      <c r="C54" s="205"/>
      <c r="D54" s="205"/>
      <c r="E54" s="205"/>
      <c r="F54" s="205"/>
    </row>
    <row r="55" ht="13.5" customHeight="1">
      <c r="A55" s="182"/>
      <c r="B55" s="205"/>
      <c r="C55" s="205"/>
      <c r="D55" s="205"/>
      <c r="E55" s="205"/>
      <c r="F55" s="205"/>
    </row>
    <row r="56" ht="13.5" customHeight="1">
      <c r="A56" s="182"/>
      <c r="B56" s="205"/>
      <c r="C56" s="205"/>
      <c r="D56" s="205"/>
      <c r="E56" s="205"/>
      <c r="F56" s="205"/>
    </row>
    <row r="57" ht="13.5" customHeight="1">
      <c r="A57" s="182"/>
      <c r="B57" s="205"/>
      <c r="C57" s="205"/>
      <c r="D57" s="205"/>
      <c r="E57" s="205"/>
      <c r="F57" s="205"/>
    </row>
    <row r="58" ht="13.5" customHeight="1">
      <c r="A58" s="182"/>
      <c r="B58" s="205"/>
      <c r="C58" s="205"/>
      <c r="D58" s="205"/>
      <c r="E58" s="205"/>
      <c r="F58" s="205"/>
    </row>
    <row r="59" ht="13.5" customHeight="1">
      <c r="A59" s="182"/>
      <c r="B59" s="205"/>
      <c r="C59" s="205"/>
      <c r="D59" s="205"/>
      <c r="E59" s="205"/>
      <c r="F59" s="205"/>
    </row>
    <row r="60" ht="13.5" customHeight="1">
      <c r="A60" s="182"/>
      <c r="B60" s="205"/>
      <c r="C60" s="205"/>
      <c r="D60" s="205"/>
      <c r="E60" s="205"/>
      <c r="F60" s="205"/>
    </row>
    <row r="61" ht="13.5" customHeight="1">
      <c r="A61" s="182"/>
      <c r="B61" s="205"/>
      <c r="C61" s="205"/>
      <c r="D61" s="205"/>
      <c r="E61" s="205"/>
      <c r="F61" s="205"/>
    </row>
    <row r="62" ht="13.5" customHeight="1">
      <c r="A62" s="182"/>
      <c r="B62" s="205"/>
      <c r="C62" s="205"/>
      <c r="D62" s="205"/>
      <c r="E62" s="205"/>
      <c r="F62" s="205"/>
    </row>
    <row r="63" ht="13.5" customHeight="1">
      <c r="A63" s="182"/>
      <c r="B63" s="205"/>
      <c r="C63" s="205"/>
      <c r="D63" s="205"/>
      <c r="E63" s="205"/>
      <c r="F63" s="205"/>
    </row>
    <row r="64" ht="13.5" customHeight="1">
      <c r="A64" s="182"/>
      <c r="B64" s="205"/>
      <c r="C64" s="205"/>
      <c r="D64" s="205"/>
      <c r="E64" s="205"/>
      <c r="F64" s="205"/>
    </row>
    <row r="65" ht="13.5" customHeight="1">
      <c r="A65" s="182"/>
      <c r="B65" s="205"/>
      <c r="C65" s="205"/>
      <c r="D65" s="205"/>
      <c r="E65" s="205"/>
      <c r="F65" s="205"/>
    </row>
    <row r="66" ht="13.5" customHeight="1">
      <c r="A66" s="182"/>
      <c r="B66" s="205"/>
      <c r="C66" s="205"/>
      <c r="D66" s="205"/>
      <c r="E66" s="205"/>
      <c r="F66" s="205"/>
    </row>
    <row r="67" ht="13.5" customHeight="1">
      <c r="A67" s="182"/>
      <c r="B67" s="205"/>
      <c r="C67" s="205"/>
      <c r="D67" s="205"/>
      <c r="E67" s="205"/>
      <c r="F67" s="205"/>
    </row>
    <row r="68" ht="13.5" customHeight="1">
      <c r="A68" s="182"/>
      <c r="B68" s="205"/>
      <c r="C68" s="205"/>
      <c r="D68" s="205"/>
      <c r="E68" s="205"/>
      <c r="F68" s="205"/>
    </row>
    <row r="69" ht="13.5" customHeight="1">
      <c r="A69" s="182"/>
      <c r="B69" s="205"/>
      <c r="C69" s="205"/>
      <c r="D69" s="205"/>
      <c r="E69" s="205"/>
      <c r="F69" s="205"/>
    </row>
    <row r="70" ht="13.5" customHeight="1">
      <c r="A70" s="182"/>
      <c r="B70" s="205"/>
      <c r="C70" s="205"/>
      <c r="D70" s="205"/>
      <c r="E70" s="205"/>
      <c r="F70" s="205"/>
    </row>
    <row r="71" ht="13.5" customHeight="1">
      <c r="A71" s="182"/>
      <c r="B71" s="205"/>
      <c r="C71" s="205"/>
      <c r="D71" s="205"/>
      <c r="E71" s="205"/>
      <c r="F71" s="205"/>
    </row>
    <row r="72" ht="13.5" customHeight="1">
      <c r="A72" s="182"/>
      <c r="B72" s="205"/>
      <c r="C72" s="205"/>
      <c r="D72" s="205"/>
      <c r="E72" s="205"/>
      <c r="F72" s="205"/>
    </row>
    <row r="73" ht="13.5" customHeight="1">
      <c r="A73" s="182"/>
      <c r="B73" s="205"/>
      <c r="C73" s="205"/>
      <c r="D73" s="205"/>
      <c r="E73" s="205"/>
      <c r="F73" s="205"/>
    </row>
    <row r="74" ht="13.5" customHeight="1">
      <c r="A74" s="182"/>
      <c r="B74" s="205"/>
      <c r="C74" s="205"/>
      <c r="D74" s="205"/>
      <c r="E74" s="205"/>
      <c r="F74" s="205"/>
    </row>
    <row r="75" ht="13.5" customHeight="1">
      <c r="A75" s="182"/>
      <c r="B75" s="205"/>
      <c r="C75" s="205"/>
      <c r="D75" s="205"/>
      <c r="E75" s="205"/>
      <c r="F75" s="205"/>
    </row>
    <row r="76" ht="13.5" customHeight="1">
      <c r="A76" s="182"/>
      <c r="B76" s="205"/>
      <c r="C76" s="205"/>
      <c r="D76" s="205"/>
      <c r="E76" s="205"/>
      <c r="F76" s="205"/>
    </row>
    <row r="77" ht="13.5" customHeight="1">
      <c r="A77" s="182"/>
      <c r="B77" s="205"/>
      <c r="C77" s="205"/>
      <c r="D77" s="205"/>
      <c r="E77" s="205"/>
      <c r="F77" s="205"/>
    </row>
    <row r="78" ht="13.5" customHeight="1">
      <c r="A78" s="182"/>
      <c r="B78" s="205"/>
      <c r="C78" s="205"/>
      <c r="D78" s="205"/>
      <c r="E78" s="205"/>
      <c r="F78" s="205"/>
    </row>
    <row r="79" ht="13.5" customHeight="1">
      <c r="A79" s="182"/>
      <c r="B79" s="205"/>
      <c r="C79" s="205"/>
      <c r="D79" s="205"/>
      <c r="E79" s="205"/>
      <c r="F79" s="205"/>
    </row>
    <row r="80" ht="13.5" customHeight="1">
      <c r="A80" s="182"/>
      <c r="B80" s="205"/>
      <c r="C80" s="205"/>
      <c r="D80" s="205"/>
      <c r="E80" s="205"/>
      <c r="F80" s="205"/>
    </row>
    <row r="81" ht="13.5" customHeight="1">
      <c r="A81" s="182"/>
      <c r="B81" s="205"/>
      <c r="C81" s="205"/>
      <c r="D81" s="205"/>
      <c r="E81" s="205"/>
      <c r="F81" s="205"/>
    </row>
    <row r="82" ht="13.5" customHeight="1">
      <c r="A82" s="182"/>
      <c r="B82" s="205"/>
      <c r="C82" s="205"/>
      <c r="D82" s="205"/>
      <c r="E82" s="205"/>
      <c r="F82" s="205"/>
    </row>
    <row r="83" ht="13.5" customHeight="1">
      <c r="A83" s="182"/>
      <c r="B83" s="205"/>
      <c r="C83" s="205"/>
      <c r="D83" s="205"/>
      <c r="E83" s="205"/>
      <c r="F83" s="205"/>
    </row>
    <row r="84" ht="13.5" customHeight="1">
      <c r="A84" s="182"/>
      <c r="B84" s="205"/>
      <c r="C84" s="205"/>
      <c r="D84" s="205"/>
      <c r="E84" s="205"/>
      <c r="F84" s="205"/>
    </row>
    <row r="85" ht="13.5" customHeight="1">
      <c r="A85" s="182"/>
      <c r="B85" s="205"/>
      <c r="C85" s="205"/>
      <c r="D85" s="205"/>
      <c r="E85" s="205"/>
      <c r="F85" s="205"/>
    </row>
    <row r="86" ht="13.5" customHeight="1">
      <c r="A86" s="182"/>
      <c r="B86" s="205"/>
      <c r="C86" s="205"/>
      <c r="D86" s="205"/>
      <c r="E86" s="205"/>
      <c r="F86" s="205"/>
    </row>
    <row r="87" ht="13.5" customHeight="1">
      <c r="A87" s="182"/>
      <c r="B87" s="205"/>
      <c r="C87" s="205"/>
      <c r="D87" s="205"/>
      <c r="E87" s="205"/>
      <c r="F87" s="205"/>
    </row>
    <row r="88" ht="13.5" customHeight="1">
      <c r="A88" s="182"/>
      <c r="B88" s="205"/>
      <c r="C88" s="205"/>
      <c r="D88" s="205"/>
      <c r="E88" s="205"/>
      <c r="F88" s="205"/>
    </row>
    <row r="89" ht="13.5" customHeight="1">
      <c r="A89" s="182"/>
      <c r="B89" s="205"/>
      <c r="C89" s="205"/>
      <c r="D89" s="205"/>
      <c r="E89" s="205"/>
      <c r="F89" s="205"/>
    </row>
    <row r="90" ht="13.5" customHeight="1">
      <c r="A90" s="182"/>
      <c r="B90" s="205"/>
      <c r="C90" s="205"/>
      <c r="D90" s="205"/>
      <c r="E90" s="205"/>
      <c r="F90" s="205"/>
    </row>
    <row r="91" ht="13.5" customHeight="1">
      <c r="A91" s="182"/>
      <c r="B91" s="205"/>
      <c r="C91" s="205"/>
      <c r="D91" s="205"/>
      <c r="E91" s="205"/>
      <c r="F91" s="205"/>
    </row>
    <row r="92" ht="13.5" customHeight="1">
      <c r="A92" s="182"/>
      <c r="B92" s="205"/>
      <c r="C92" s="205"/>
      <c r="D92" s="205"/>
      <c r="E92" s="205"/>
      <c r="F92" s="205"/>
    </row>
    <row r="93" ht="13.5" customHeight="1">
      <c r="A93" s="182"/>
      <c r="B93" s="205"/>
      <c r="C93" s="205"/>
      <c r="D93" s="205"/>
      <c r="E93" s="205"/>
      <c r="F93" s="205"/>
    </row>
    <row r="94" ht="13.5" customHeight="1">
      <c r="A94" s="182"/>
      <c r="B94" s="205"/>
      <c r="C94" s="205"/>
      <c r="D94" s="205"/>
      <c r="E94" s="205"/>
      <c r="F94" s="205"/>
    </row>
    <row r="95" ht="13.5" customHeight="1">
      <c r="A95" s="182"/>
      <c r="B95" s="205"/>
      <c r="C95" s="205"/>
      <c r="D95" s="205"/>
      <c r="E95" s="205"/>
      <c r="F95" s="205"/>
    </row>
    <row r="96" ht="13.5" customHeight="1">
      <c r="A96" s="182"/>
      <c r="B96" s="205"/>
      <c r="C96" s="205"/>
      <c r="D96" s="205"/>
      <c r="E96" s="205"/>
      <c r="F96" s="205"/>
    </row>
    <row r="97" ht="13.5" customHeight="1">
      <c r="A97" s="182"/>
      <c r="B97" s="205"/>
      <c r="C97" s="205"/>
      <c r="D97" s="205"/>
      <c r="E97" s="205"/>
      <c r="F97" s="205"/>
    </row>
    <row r="98" ht="13.5" customHeight="1">
      <c r="A98" s="182"/>
      <c r="B98" s="205"/>
      <c r="C98" s="205"/>
      <c r="D98" s="205"/>
      <c r="E98" s="205"/>
      <c r="F98" s="205"/>
    </row>
    <row r="99" ht="13.5" customHeight="1">
      <c r="A99" s="182"/>
      <c r="B99" s="205"/>
      <c r="C99" s="205"/>
      <c r="D99" s="205"/>
      <c r="E99" s="205"/>
      <c r="F99" s="205"/>
    </row>
    <row r="100" ht="13.5" customHeight="1">
      <c r="A100" s="182"/>
      <c r="B100" s="205"/>
      <c r="C100" s="205"/>
      <c r="D100" s="205"/>
      <c r="E100" s="205"/>
      <c r="F100" s="205"/>
    </row>
    <row r="101" ht="13.5" customHeight="1">
      <c r="A101" s="182"/>
      <c r="B101" s="205"/>
      <c r="C101" s="205"/>
      <c r="D101" s="205"/>
      <c r="E101" s="205"/>
      <c r="F101" s="205"/>
    </row>
    <row r="102" ht="13.5" customHeight="1">
      <c r="A102" s="182"/>
      <c r="B102" s="205"/>
      <c r="C102" s="205"/>
      <c r="D102" s="205"/>
      <c r="E102" s="205"/>
      <c r="F102" s="205"/>
    </row>
    <row r="103" ht="13.5" customHeight="1">
      <c r="A103" s="182"/>
      <c r="B103" s="205"/>
      <c r="C103" s="205"/>
      <c r="D103" s="205"/>
      <c r="E103" s="205"/>
      <c r="F103" s="205"/>
    </row>
    <row r="104" ht="13.5" customHeight="1">
      <c r="A104" s="182"/>
      <c r="B104" s="205"/>
      <c r="C104" s="205"/>
      <c r="D104" s="205"/>
      <c r="E104" s="205"/>
      <c r="F104" s="205"/>
    </row>
    <row r="105" ht="13.5" customHeight="1">
      <c r="A105" s="182"/>
      <c r="B105" s="205"/>
      <c r="C105" s="205"/>
      <c r="D105" s="205"/>
      <c r="E105" s="205"/>
      <c r="F105" s="205"/>
    </row>
    <row r="106" ht="13.5" customHeight="1">
      <c r="A106" s="182"/>
      <c r="B106" s="205"/>
      <c r="C106" s="205"/>
      <c r="D106" s="205"/>
      <c r="E106" s="205"/>
      <c r="F106" s="205"/>
    </row>
    <row r="107" ht="13.5" customHeight="1">
      <c r="A107" s="182"/>
      <c r="B107" s="205"/>
      <c r="C107" s="205"/>
      <c r="D107" s="205"/>
      <c r="E107" s="205"/>
      <c r="F107" s="205"/>
    </row>
    <row r="108" ht="13.5" customHeight="1">
      <c r="A108" s="182"/>
      <c r="B108" s="205"/>
      <c r="C108" s="205"/>
      <c r="D108" s="205"/>
      <c r="E108" s="205"/>
      <c r="F108" s="205"/>
    </row>
    <row r="109" ht="13.5" customHeight="1">
      <c r="A109" s="182"/>
      <c r="B109" s="205"/>
      <c r="C109" s="205"/>
      <c r="D109" s="205"/>
      <c r="E109" s="205"/>
      <c r="F109" s="205"/>
    </row>
    <row r="110" ht="13.5" customHeight="1">
      <c r="A110" s="182"/>
      <c r="B110" s="205"/>
      <c r="C110" s="205"/>
      <c r="D110" s="205"/>
      <c r="E110" s="205"/>
      <c r="F110" s="205"/>
    </row>
    <row r="111" ht="13.5" customHeight="1">
      <c r="A111" s="182"/>
      <c r="B111" s="205"/>
      <c r="C111" s="205"/>
      <c r="D111" s="205"/>
      <c r="E111" s="205"/>
      <c r="F111" s="205"/>
    </row>
    <row r="112" ht="13.5" customHeight="1">
      <c r="A112" s="182"/>
      <c r="B112" s="205"/>
      <c r="C112" s="205"/>
      <c r="D112" s="205"/>
      <c r="E112" s="205"/>
      <c r="F112" s="205"/>
    </row>
    <row r="113" ht="13.5" customHeight="1">
      <c r="A113" s="182"/>
      <c r="B113" s="205"/>
      <c r="C113" s="205"/>
      <c r="D113" s="205"/>
      <c r="E113" s="205"/>
      <c r="F113" s="205"/>
    </row>
    <row r="114" ht="13.5" customHeight="1">
      <c r="A114" s="182"/>
      <c r="B114" s="205"/>
      <c r="C114" s="205"/>
      <c r="D114" s="205"/>
      <c r="E114" s="205"/>
      <c r="F114" s="205"/>
    </row>
    <row r="115" ht="13.5" customHeight="1">
      <c r="A115" s="182"/>
      <c r="B115" s="205"/>
      <c r="C115" s="205"/>
      <c r="D115" s="205"/>
      <c r="E115" s="205"/>
      <c r="F115" s="205"/>
    </row>
    <row r="116" ht="13.5" customHeight="1">
      <c r="A116" s="182"/>
      <c r="B116" s="205"/>
      <c r="C116" s="205"/>
      <c r="D116" s="205"/>
      <c r="E116" s="205"/>
      <c r="F116" s="205"/>
    </row>
    <row r="117" ht="13.5" customHeight="1">
      <c r="A117" s="182"/>
      <c r="B117" s="205"/>
      <c r="C117" s="205"/>
      <c r="D117" s="205"/>
      <c r="E117" s="205"/>
      <c r="F117" s="205"/>
    </row>
    <row r="118" ht="13.5" customHeight="1">
      <c r="A118" s="182"/>
      <c r="B118" s="205"/>
      <c r="C118" s="205"/>
      <c r="D118" s="205"/>
      <c r="E118" s="205"/>
      <c r="F118" s="205"/>
    </row>
    <row r="119" ht="13.5" customHeight="1">
      <c r="A119" s="182"/>
      <c r="B119" s="205"/>
      <c r="C119" s="205"/>
      <c r="D119" s="205"/>
      <c r="E119" s="205"/>
      <c r="F119" s="205"/>
    </row>
    <row r="120" ht="13.5" customHeight="1">
      <c r="A120" s="182"/>
      <c r="B120" s="205"/>
      <c r="C120" s="205"/>
      <c r="D120" s="205"/>
      <c r="E120" s="205"/>
      <c r="F120" s="205"/>
    </row>
    <row r="121" ht="13.5" customHeight="1">
      <c r="A121" s="182"/>
      <c r="B121" s="205"/>
      <c r="C121" s="205"/>
      <c r="D121" s="205"/>
      <c r="E121" s="205"/>
      <c r="F121" s="205"/>
    </row>
    <row r="122" ht="13.5" customHeight="1">
      <c r="A122" s="182"/>
      <c r="B122" s="205"/>
      <c r="C122" s="205"/>
      <c r="D122" s="205"/>
      <c r="E122" s="205"/>
      <c r="F122" s="205"/>
    </row>
    <row r="123" ht="13.5" customHeight="1">
      <c r="A123" s="182"/>
      <c r="B123" s="205"/>
      <c r="C123" s="205"/>
      <c r="D123" s="205"/>
      <c r="E123" s="205"/>
      <c r="F123" s="205"/>
    </row>
    <row r="124" ht="13.5" customHeight="1">
      <c r="A124" s="182"/>
      <c r="B124" s="205"/>
      <c r="C124" s="205"/>
      <c r="D124" s="205"/>
      <c r="E124" s="205"/>
      <c r="F124" s="205"/>
    </row>
    <row r="125" ht="13.5" customHeight="1">
      <c r="A125" s="182"/>
      <c r="B125" s="205"/>
      <c r="C125" s="205"/>
      <c r="D125" s="205"/>
      <c r="E125" s="205"/>
      <c r="F125" s="205"/>
    </row>
    <row r="126" ht="13.5" customHeight="1">
      <c r="A126" s="182"/>
      <c r="B126" s="205"/>
      <c r="C126" s="205"/>
      <c r="D126" s="205"/>
      <c r="E126" s="205"/>
      <c r="F126" s="205"/>
    </row>
    <row r="127" ht="13.5" customHeight="1">
      <c r="A127" s="182"/>
      <c r="B127" s="205"/>
      <c r="C127" s="205"/>
      <c r="D127" s="205"/>
      <c r="E127" s="205"/>
      <c r="F127" s="205"/>
    </row>
    <row r="128" ht="13.5" customHeight="1">
      <c r="A128" s="182"/>
      <c r="B128" s="205"/>
      <c r="C128" s="205"/>
      <c r="D128" s="205"/>
      <c r="E128" s="205"/>
      <c r="F128" s="205"/>
    </row>
    <row r="129" ht="13.5" customHeight="1">
      <c r="A129" s="182"/>
      <c r="B129" s="205"/>
      <c r="C129" s="205"/>
      <c r="D129" s="205"/>
      <c r="E129" s="205"/>
      <c r="F129" s="205"/>
    </row>
    <row r="130" ht="13.5" customHeight="1">
      <c r="A130" s="182"/>
      <c r="B130" s="205"/>
      <c r="C130" s="205"/>
      <c r="D130" s="205"/>
      <c r="E130" s="205"/>
      <c r="F130" s="205"/>
    </row>
    <row r="131" ht="13.5" customHeight="1">
      <c r="A131" s="182"/>
      <c r="B131" s="205"/>
      <c r="C131" s="205"/>
      <c r="D131" s="205"/>
      <c r="E131" s="205"/>
      <c r="F131" s="205"/>
    </row>
    <row r="132" ht="13.5" customHeight="1">
      <c r="A132" s="182"/>
      <c r="B132" s="205"/>
      <c r="C132" s="205"/>
      <c r="D132" s="205"/>
      <c r="E132" s="205"/>
      <c r="F132" s="205"/>
    </row>
    <row r="133" ht="13.5" customHeight="1">
      <c r="A133" s="182"/>
      <c r="B133" s="205"/>
      <c r="C133" s="205"/>
      <c r="D133" s="205"/>
      <c r="E133" s="205"/>
      <c r="F133" s="205"/>
    </row>
    <row r="134" ht="13.5" customHeight="1">
      <c r="A134" s="182"/>
      <c r="B134" s="205"/>
      <c r="C134" s="205"/>
      <c r="D134" s="205"/>
      <c r="E134" s="205"/>
      <c r="F134" s="205"/>
    </row>
    <row r="135" ht="13.5" customHeight="1">
      <c r="A135" s="182"/>
      <c r="B135" s="205"/>
      <c r="C135" s="205"/>
      <c r="D135" s="205"/>
      <c r="E135" s="205"/>
      <c r="F135" s="205"/>
    </row>
    <row r="136" ht="13.5" customHeight="1">
      <c r="A136" s="182"/>
      <c r="B136" s="205"/>
      <c r="C136" s="205"/>
      <c r="D136" s="205"/>
      <c r="E136" s="205"/>
      <c r="F136" s="205"/>
    </row>
    <row r="137" ht="13.5" customHeight="1">
      <c r="A137" s="182"/>
      <c r="B137" s="205"/>
      <c r="C137" s="205"/>
      <c r="D137" s="205"/>
      <c r="E137" s="205"/>
      <c r="F137" s="205"/>
    </row>
    <row r="138" ht="13.5" customHeight="1">
      <c r="A138" s="182"/>
      <c r="B138" s="205"/>
      <c r="C138" s="205"/>
      <c r="D138" s="205"/>
      <c r="E138" s="205"/>
      <c r="F138" s="205"/>
    </row>
    <row r="139" ht="13.5" customHeight="1">
      <c r="A139" s="182"/>
      <c r="B139" s="205"/>
      <c r="C139" s="205"/>
      <c r="D139" s="205"/>
      <c r="E139" s="205"/>
      <c r="F139" s="205"/>
    </row>
    <row r="140" ht="13.5" customHeight="1">
      <c r="A140" s="182"/>
      <c r="B140" s="205"/>
      <c r="C140" s="205"/>
      <c r="D140" s="205"/>
      <c r="E140" s="205"/>
      <c r="F140" s="205"/>
    </row>
    <row r="141" ht="13.5" customHeight="1">
      <c r="A141" s="182"/>
      <c r="B141" s="205"/>
      <c r="C141" s="205"/>
      <c r="D141" s="205"/>
      <c r="E141" s="205"/>
      <c r="F141" s="205"/>
    </row>
    <row r="142" ht="13.5" customHeight="1">
      <c r="A142" s="182"/>
      <c r="B142" s="205"/>
      <c r="C142" s="205"/>
      <c r="D142" s="205"/>
      <c r="E142" s="205"/>
      <c r="F142" s="205"/>
    </row>
    <row r="143" ht="13.5" customHeight="1">
      <c r="A143" s="182"/>
      <c r="B143" s="205"/>
      <c r="C143" s="205"/>
      <c r="D143" s="205"/>
      <c r="E143" s="205"/>
      <c r="F143" s="205"/>
    </row>
    <row r="144" ht="13.5" customHeight="1">
      <c r="A144" s="182"/>
      <c r="B144" s="205"/>
      <c r="C144" s="205"/>
      <c r="D144" s="205"/>
      <c r="E144" s="205"/>
      <c r="F144" s="205"/>
    </row>
    <row r="145" ht="13.5" customHeight="1">
      <c r="A145" s="182"/>
      <c r="B145" s="205"/>
      <c r="C145" s="205"/>
      <c r="D145" s="205"/>
      <c r="E145" s="205"/>
      <c r="F145" s="205"/>
    </row>
    <row r="146" ht="13.5" customHeight="1">
      <c r="A146" s="182"/>
      <c r="B146" s="205"/>
      <c r="C146" s="205"/>
      <c r="D146" s="205"/>
      <c r="E146" s="205"/>
      <c r="F146" s="205"/>
    </row>
    <row r="147" ht="13.5" customHeight="1">
      <c r="A147" s="182"/>
      <c r="B147" s="205"/>
      <c r="C147" s="205"/>
      <c r="D147" s="205"/>
      <c r="E147" s="205"/>
      <c r="F147" s="205"/>
    </row>
    <row r="148" ht="13.5" customHeight="1">
      <c r="A148" s="182"/>
      <c r="B148" s="205"/>
      <c r="C148" s="205"/>
      <c r="D148" s="205"/>
      <c r="E148" s="205"/>
      <c r="F148" s="205"/>
    </row>
    <row r="149" ht="13.5" customHeight="1">
      <c r="A149" s="182"/>
      <c r="B149" s="205"/>
      <c r="C149" s="205"/>
      <c r="D149" s="205"/>
      <c r="E149" s="205"/>
      <c r="F149" s="205"/>
    </row>
    <row r="150" ht="13.5" customHeight="1">
      <c r="A150" s="182"/>
      <c r="B150" s="205"/>
      <c r="C150" s="205"/>
      <c r="D150" s="205"/>
      <c r="E150" s="205"/>
      <c r="F150" s="205"/>
    </row>
    <row r="151" ht="13.5" customHeight="1">
      <c r="A151" s="182"/>
      <c r="B151" s="205"/>
      <c r="C151" s="205"/>
      <c r="D151" s="205"/>
      <c r="E151" s="205"/>
      <c r="F151" s="205"/>
    </row>
    <row r="152" ht="13.5" customHeight="1">
      <c r="A152" s="182"/>
      <c r="B152" s="205"/>
      <c r="C152" s="205"/>
      <c r="D152" s="205"/>
      <c r="E152" s="205"/>
      <c r="F152" s="205"/>
    </row>
    <row r="153" ht="13.5" customHeight="1">
      <c r="A153" s="182"/>
      <c r="B153" s="205"/>
      <c r="C153" s="205"/>
      <c r="D153" s="205"/>
      <c r="E153" s="205"/>
      <c r="F153" s="205"/>
    </row>
    <row r="154" ht="13.5" customHeight="1">
      <c r="A154" s="182"/>
      <c r="B154" s="205"/>
      <c r="C154" s="205"/>
      <c r="D154" s="205"/>
      <c r="E154" s="205"/>
      <c r="F154" s="205"/>
    </row>
    <row r="155" ht="13.5" customHeight="1">
      <c r="A155" s="182"/>
      <c r="B155" s="205"/>
      <c r="C155" s="205"/>
      <c r="D155" s="205"/>
      <c r="E155" s="205"/>
      <c r="F155" s="205"/>
    </row>
    <row r="156" ht="13.5" customHeight="1">
      <c r="A156" s="182"/>
      <c r="B156" s="205"/>
      <c r="C156" s="205"/>
      <c r="D156" s="205"/>
      <c r="E156" s="205"/>
      <c r="F156" s="205"/>
    </row>
    <row r="157" ht="13.5" customHeight="1">
      <c r="A157" s="182"/>
      <c r="B157" s="205"/>
      <c r="C157" s="205"/>
      <c r="D157" s="205"/>
      <c r="E157" s="205"/>
      <c r="F157" s="205"/>
    </row>
    <row r="158" ht="13.5" customHeight="1">
      <c r="A158" s="182"/>
      <c r="B158" s="205"/>
      <c r="C158" s="205"/>
      <c r="D158" s="205"/>
      <c r="E158" s="205"/>
      <c r="F158" s="205"/>
    </row>
    <row r="159" ht="13.5" customHeight="1">
      <c r="A159" s="182"/>
      <c r="B159" s="205"/>
      <c r="C159" s="205"/>
      <c r="D159" s="205"/>
      <c r="E159" s="205"/>
      <c r="F159" s="205"/>
    </row>
    <row r="160" ht="13.5" customHeight="1">
      <c r="A160" s="182"/>
      <c r="B160" s="205"/>
      <c r="C160" s="205"/>
      <c r="D160" s="205"/>
      <c r="E160" s="205"/>
      <c r="F160" s="205"/>
    </row>
    <row r="161" ht="13.5" customHeight="1">
      <c r="A161" s="182"/>
      <c r="B161" s="205"/>
      <c r="C161" s="205"/>
      <c r="D161" s="205"/>
      <c r="E161" s="205"/>
      <c r="F161" s="205"/>
    </row>
    <row r="162" ht="13.5" customHeight="1">
      <c r="A162" s="182"/>
      <c r="B162" s="205"/>
      <c r="C162" s="205"/>
      <c r="D162" s="205"/>
      <c r="E162" s="205"/>
      <c r="F162" s="205"/>
    </row>
    <row r="163" ht="13.5" customHeight="1">
      <c r="A163" s="182"/>
      <c r="B163" s="205"/>
      <c r="C163" s="205"/>
      <c r="D163" s="205"/>
      <c r="E163" s="205"/>
      <c r="F163" s="205"/>
    </row>
    <row r="164" ht="13.5" customHeight="1">
      <c r="A164" s="182"/>
      <c r="B164" s="205"/>
      <c r="C164" s="205"/>
      <c r="D164" s="205"/>
      <c r="E164" s="205"/>
      <c r="F164" s="205"/>
    </row>
    <row r="165" ht="13.5" customHeight="1">
      <c r="A165" s="182"/>
      <c r="B165" s="205"/>
      <c r="C165" s="205"/>
      <c r="D165" s="205"/>
      <c r="E165" s="205"/>
      <c r="F165" s="205"/>
    </row>
    <row r="166" ht="13.5" customHeight="1">
      <c r="A166" s="182"/>
      <c r="B166" s="205"/>
      <c r="C166" s="205"/>
      <c r="D166" s="205"/>
      <c r="E166" s="205"/>
      <c r="F166" s="205"/>
    </row>
    <row r="167" ht="13.5" customHeight="1">
      <c r="A167" s="182"/>
      <c r="B167" s="205"/>
      <c r="C167" s="205"/>
      <c r="D167" s="205"/>
      <c r="E167" s="205"/>
      <c r="F167" s="205"/>
    </row>
    <row r="168" ht="13.5" customHeight="1">
      <c r="A168" s="182"/>
      <c r="B168" s="205"/>
      <c r="C168" s="205"/>
      <c r="D168" s="205"/>
      <c r="E168" s="205"/>
      <c r="F168" s="205"/>
    </row>
    <row r="169" ht="13.5" customHeight="1">
      <c r="A169" s="182"/>
      <c r="B169" s="205"/>
      <c r="C169" s="205"/>
      <c r="D169" s="205"/>
      <c r="E169" s="205"/>
      <c r="F169" s="205"/>
    </row>
    <row r="170" ht="13.5" customHeight="1">
      <c r="A170" s="182"/>
      <c r="B170" s="205"/>
      <c r="C170" s="205"/>
      <c r="D170" s="205"/>
      <c r="E170" s="205"/>
      <c r="F170" s="205"/>
    </row>
    <row r="171" ht="13.5" customHeight="1">
      <c r="A171" s="182"/>
      <c r="B171" s="205"/>
      <c r="C171" s="205"/>
      <c r="D171" s="205"/>
      <c r="E171" s="205"/>
      <c r="F171" s="205"/>
    </row>
    <row r="172" ht="13.5" customHeight="1">
      <c r="A172" s="182"/>
      <c r="B172" s="205"/>
      <c r="C172" s="205"/>
      <c r="D172" s="205"/>
      <c r="E172" s="205"/>
      <c r="F172" s="205"/>
    </row>
    <row r="173" ht="13.5" customHeight="1">
      <c r="A173" s="182"/>
      <c r="B173" s="205"/>
      <c r="C173" s="205"/>
      <c r="D173" s="205"/>
      <c r="E173" s="205"/>
      <c r="F173" s="205"/>
    </row>
    <row r="174" ht="13.5" customHeight="1">
      <c r="A174" s="182"/>
      <c r="B174" s="205"/>
      <c r="C174" s="205"/>
      <c r="D174" s="205"/>
      <c r="E174" s="205"/>
      <c r="F174" s="205"/>
    </row>
    <row r="175" ht="13.5" customHeight="1">
      <c r="A175" s="182"/>
      <c r="B175" s="205"/>
      <c r="C175" s="205"/>
      <c r="D175" s="205"/>
      <c r="E175" s="205"/>
      <c r="F175" s="205"/>
    </row>
    <row r="176" ht="13.5" customHeight="1">
      <c r="A176" s="182"/>
      <c r="B176" s="205"/>
      <c r="C176" s="205"/>
      <c r="D176" s="205"/>
      <c r="E176" s="205"/>
      <c r="F176" s="205"/>
    </row>
    <row r="177" ht="13.5" customHeight="1">
      <c r="A177" s="182"/>
      <c r="B177" s="205"/>
      <c r="C177" s="205"/>
      <c r="D177" s="205"/>
      <c r="E177" s="205"/>
      <c r="F177" s="205"/>
    </row>
    <row r="178" ht="13.5" customHeight="1">
      <c r="A178" s="182"/>
      <c r="B178" s="205"/>
      <c r="C178" s="205"/>
      <c r="D178" s="205"/>
      <c r="E178" s="205"/>
      <c r="F178" s="205"/>
    </row>
    <row r="179" ht="13.5" customHeight="1">
      <c r="A179" s="182"/>
      <c r="B179" s="205"/>
      <c r="C179" s="205"/>
      <c r="D179" s="205"/>
      <c r="E179" s="205"/>
      <c r="F179" s="205"/>
    </row>
    <row r="180" ht="13.5" customHeight="1">
      <c r="A180" s="182"/>
      <c r="B180" s="205"/>
      <c r="C180" s="205"/>
      <c r="D180" s="205"/>
      <c r="E180" s="205"/>
      <c r="F180" s="205"/>
    </row>
    <row r="181" ht="13.5" customHeight="1">
      <c r="A181" s="182"/>
      <c r="B181" s="205"/>
      <c r="C181" s="205"/>
      <c r="D181" s="205"/>
      <c r="E181" s="205"/>
      <c r="F181" s="205"/>
    </row>
    <row r="182" ht="13.5" customHeight="1">
      <c r="A182" s="182"/>
      <c r="B182" s="205"/>
      <c r="C182" s="205"/>
      <c r="D182" s="205"/>
      <c r="E182" s="205"/>
      <c r="F182" s="205"/>
    </row>
    <row r="183" ht="13.5" customHeight="1">
      <c r="A183" s="182"/>
      <c r="B183" s="205"/>
      <c r="C183" s="205"/>
      <c r="D183" s="205"/>
      <c r="E183" s="205"/>
      <c r="F183" s="205"/>
    </row>
    <row r="184" ht="13.5" customHeight="1">
      <c r="A184" s="182"/>
      <c r="B184" s="205"/>
      <c r="C184" s="205"/>
      <c r="D184" s="205"/>
      <c r="E184" s="205"/>
      <c r="F184" s="205"/>
    </row>
    <row r="185" ht="13.5" customHeight="1">
      <c r="A185" s="182"/>
      <c r="B185" s="205"/>
      <c r="C185" s="205"/>
      <c r="D185" s="205"/>
      <c r="E185" s="205"/>
      <c r="F185" s="205"/>
    </row>
    <row r="186" ht="13.5" customHeight="1">
      <c r="A186" s="182"/>
      <c r="B186" s="205"/>
      <c r="C186" s="205"/>
      <c r="D186" s="205"/>
      <c r="E186" s="205"/>
      <c r="F186" s="205"/>
    </row>
    <row r="187" ht="13.5" customHeight="1">
      <c r="A187" s="182"/>
      <c r="B187" s="205"/>
      <c r="C187" s="205"/>
      <c r="D187" s="205"/>
      <c r="E187" s="205"/>
      <c r="F187" s="205"/>
    </row>
    <row r="188" ht="13.5" customHeight="1">
      <c r="A188" s="182"/>
      <c r="B188" s="205"/>
      <c r="C188" s="205"/>
      <c r="D188" s="205"/>
      <c r="E188" s="205"/>
      <c r="F188" s="205"/>
    </row>
    <row r="189" ht="13.5" customHeight="1">
      <c r="A189" s="182"/>
      <c r="B189" s="205"/>
      <c r="C189" s="205"/>
      <c r="D189" s="205"/>
      <c r="E189" s="205"/>
      <c r="F189" s="205"/>
    </row>
    <row r="190" ht="13.5" customHeight="1">
      <c r="A190" s="182"/>
      <c r="B190" s="205"/>
      <c r="C190" s="205"/>
      <c r="D190" s="205"/>
      <c r="E190" s="205"/>
      <c r="F190" s="205"/>
    </row>
    <row r="191" ht="13.5" customHeight="1">
      <c r="A191" s="182"/>
      <c r="B191" s="205"/>
      <c r="C191" s="205"/>
      <c r="D191" s="205"/>
      <c r="E191" s="205"/>
      <c r="F191" s="205"/>
    </row>
    <row r="192" ht="13.5" customHeight="1">
      <c r="A192" s="182"/>
      <c r="B192" s="205"/>
      <c r="C192" s="205"/>
      <c r="D192" s="205"/>
      <c r="E192" s="205"/>
      <c r="F192" s="205"/>
    </row>
    <row r="193" ht="13.5" customHeight="1">
      <c r="A193" s="182"/>
      <c r="B193" s="205"/>
      <c r="C193" s="205"/>
      <c r="D193" s="205"/>
      <c r="E193" s="205"/>
      <c r="F193" s="205"/>
    </row>
    <row r="194" ht="13.5" customHeight="1">
      <c r="A194" s="182"/>
      <c r="B194" s="205"/>
      <c r="C194" s="205"/>
      <c r="D194" s="205"/>
      <c r="E194" s="205"/>
      <c r="F194" s="205"/>
    </row>
    <row r="195" ht="13.5" customHeight="1">
      <c r="A195" s="182"/>
      <c r="B195" s="205"/>
      <c r="C195" s="205"/>
      <c r="D195" s="205"/>
      <c r="E195" s="205"/>
      <c r="F195" s="205"/>
    </row>
    <row r="196" ht="13.5" customHeight="1">
      <c r="A196" s="182"/>
      <c r="B196" s="205"/>
      <c r="C196" s="205"/>
      <c r="D196" s="205"/>
      <c r="E196" s="205"/>
      <c r="F196" s="205"/>
    </row>
    <row r="197" ht="13.5" customHeight="1">
      <c r="A197" s="182"/>
      <c r="B197" s="205"/>
      <c r="C197" s="205"/>
      <c r="D197" s="205"/>
      <c r="E197" s="205"/>
      <c r="F197" s="205"/>
    </row>
    <row r="198" ht="13.5" customHeight="1">
      <c r="A198" s="182"/>
      <c r="B198" s="205"/>
      <c r="C198" s="205"/>
      <c r="D198" s="205"/>
      <c r="E198" s="205"/>
      <c r="F198" s="205"/>
    </row>
    <row r="199" ht="13.5" customHeight="1">
      <c r="A199" s="182"/>
      <c r="B199" s="205"/>
      <c r="C199" s="205"/>
      <c r="D199" s="205"/>
      <c r="E199" s="205"/>
      <c r="F199" s="205"/>
    </row>
    <row r="200" ht="13.5" customHeight="1">
      <c r="A200" s="182"/>
      <c r="B200" s="205"/>
      <c r="C200" s="205"/>
      <c r="D200" s="205"/>
      <c r="E200" s="205"/>
      <c r="F200" s="205"/>
    </row>
    <row r="201" ht="13.5" customHeight="1">
      <c r="A201" s="182"/>
      <c r="B201" s="205"/>
      <c r="C201" s="205"/>
      <c r="D201" s="205"/>
      <c r="E201" s="205"/>
      <c r="F201" s="205"/>
    </row>
    <row r="202" ht="13.5" customHeight="1">
      <c r="A202" s="182"/>
      <c r="B202" s="205"/>
      <c r="C202" s="205"/>
      <c r="D202" s="205"/>
      <c r="E202" s="205"/>
      <c r="F202" s="205"/>
    </row>
    <row r="203" ht="13.5" customHeight="1">
      <c r="A203" s="182"/>
      <c r="B203" s="205"/>
      <c r="C203" s="205"/>
      <c r="D203" s="205"/>
      <c r="E203" s="205"/>
      <c r="F203" s="205"/>
    </row>
    <row r="204" ht="13.5" customHeight="1">
      <c r="A204" s="182"/>
      <c r="B204" s="205"/>
      <c r="C204" s="205"/>
      <c r="D204" s="205"/>
      <c r="E204" s="205"/>
      <c r="F204" s="205"/>
    </row>
    <row r="205" ht="13.5" customHeight="1">
      <c r="A205" s="182"/>
      <c r="B205" s="205"/>
      <c r="C205" s="205"/>
      <c r="D205" s="205"/>
      <c r="E205" s="205"/>
      <c r="F205" s="205"/>
    </row>
    <row r="206" ht="13.5" customHeight="1">
      <c r="A206" s="182"/>
      <c r="B206" s="205"/>
      <c r="C206" s="205"/>
      <c r="D206" s="205"/>
      <c r="E206" s="205"/>
      <c r="F206" s="205"/>
    </row>
    <row r="207" ht="13.5" customHeight="1">
      <c r="A207" s="182"/>
      <c r="B207" s="205"/>
      <c r="C207" s="205"/>
      <c r="D207" s="205"/>
      <c r="E207" s="205"/>
      <c r="F207" s="205"/>
    </row>
    <row r="208" ht="13.5" customHeight="1">
      <c r="A208" s="182"/>
      <c r="B208" s="205"/>
      <c r="C208" s="205"/>
      <c r="D208" s="205"/>
      <c r="E208" s="205"/>
      <c r="F208" s="205"/>
    </row>
    <row r="209" ht="13.5" customHeight="1">
      <c r="A209" s="182"/>
      <c r="B209" s="205"/>
      <c r="C209" s="205"/>
      <c r="D209" s="205"/>
      <c r="E209" s="205"/>
      <c r="F209" s="205"/>
    </row>
    <row r="210" ht="13.5" customHeight="1">
      <c r="A210" s="182"/>
      <c r="B210" s="205"/>
      <c r="C210" s="205"/>
      <c r="D210" s="205"/>
      <c r="E210" s="205"/>
      <c r="F210" s="205"/>
    </row>
    <row r="211" ht="13.5" customHeight="1">
      <c r="A211" s="182"/>
      <c r="B211" s="205"/>
      <c r="C211" s="205"/>
      <c r="D211" s="205"/>
      <c r="E211" s="205"/>
      <c r="F211" s="205"/>
    </row>
    <row r="212" ht="13.5" customHeight="1">
      <c r="A212" s="182"/>
      <c r="B212" s="205"/>
      <c r="C212" s="205"/>
      <c r="D212" s="205"/>
      <c r="E212" s="205"/>
      <c r="F212" s="205"/>
    </row>
    <row r="213" ht="13.5" customHeight="1">
      <c r="A213" s="182"/>
      <c r="B213" s="205"/>
      <c r="C213" s="205"/>
      <c r="D213" s="205"/>
      <c r="E213" s="205"/>
      <c r="F213" s="205"/>
    </row>
    <row r="214" ht="13.5" customHeight="1">
      <c r="A214" s="182"/>
      <c r="B214" s="205"/>
      <c r="C214" s="205"/>
      <c r="D214" s="205"/>
      <c r="E214" s="205"/>
      <c r="F214" s="205"/>
    </row>
    <row r="215" ht="13.5" customHeight="1">
      <c r="A215" s="182"/>
      <c r="B215" s="205"/>
      <c r="C215" s="205"/>
      <c r="D215" s="205"/>
      <c r="E215" s="205"/>
      <c r="F215" s="205"/>
    </row>
    <row r="216" ht="13.5" customHeight="1">
      <c r="A216" s="182"/>
      <c r="B216" s="205"/>
      <c r="C216" s="205"/>
      <c r="D216" s="205"/>
      <c r="E216" s="205"/>
      <c r="F216" s="205"/>
    </row>
    <row r="217" ht="13.5" customHeight="1">
      <c r="A217" s="182"/>
      <c r="B217" s="205"/>
      <c r="C217" s="205"/>
      <c r="D217" s="205"/>
      <c r="E217" s="205"/>
      <c r="F217" s="205"/>
    </row>
    <row r="218" ht="13.5" customHeight="1">
      <c r="A218" s="182"/>
      <c r="B218" s="205"/>
      <c r="C218" s="205"/>
      <c r="D218" s="205"/>
      <c r="E218" s="205"/>
      <c r="F218" s="205"/>
    </row>
    <row r="219" ht="13.5" customHeight="1">
      <c r="A219" s="182"/>
      <c r="B219" s="205"/>
      <c r="C219" s="205"/>
      <c r="D219" s="205"/>
      <c r="E219" s="205"/>
      <c r="F219" s="205"/>
    </row>
    <row r="220" ht="13.5" customHeight="1">
      <c r="A220" s="182"/>
      <c r="B220" s="205"/>
      <c r="C220" s="205"/>
      <c r="D220" s="205"/>
      <c r="E220" s="205"/>
      <c r="F220" s="205"/>
    </row>
    <row r="221" ht="13.5" customHeight="1">
      <c r="A221" s="182"/>
      <c r="B221" s="205"/>
      <c r="C221" s="205"/>
      <c r="D221" s="205"/>
      <c r="E221" s="205"/>
      <c r="F221" s="205"/>
    </row>
    <row r="222" ht="13.5" customHeight="1">
      <c r="A222" s="182"/>
      <c r="B222" s="205"/>
      <c r="C222" s="205"/>
      <c r="D222" s="205"/>
      <c r="E222" s="205"/>
      <c r="F222" s="205"/>
    </row>
    <row r="223" ht="13.5" customHeight="1">
      <c r="A223" s="182"/>
      <c r="B223" s="205"/>
      <c r="C223" s="205"/>
      <c r="D223" s="205"/>
      <c r="E223" s="205"/>
      <c r="F223" s="205"/>
    </row>
    <row r="224" ht="13.5" customHeight="1">
      <c r="A224" s="182"/>
      <c r="B224" s="205"/>
      <c r="C224" s="205"/>
      <c r="D224" s="205"/>
      <c r="E224" s="205"/>
      <c r="F224" s="205"/>
    </row>
    <row r="225" ht="13.5" customHeight="1">
      <c r="A225" s="182"/>
      <c r="B225" s="205"/>
      <c r="C225" s="205"/>
      <c r="D225" s="205"/>
      <c r="E225" s="205"/>
      <c r="F225" s="205"/>
    </row>
    <row r="226" ht="13.5" customHeight="1">
      <c r="A226" s="182"/>
      <c r="B226" s="205"/>
      <c r="C226" s="205"/>
      <c r="D226" s="205"/>
      <c r="E226" s="205"/>
      <c r="F226" s="205"/>
    </row>
    <row r="227" ht="13.5" customHeight="1">
      <c r="A227" s="182"/>
      <c r="B227" s="205"/>
      <c r="C227" s="205"/>
      <c r="D227" s="205"/>
      <c r="E227" s="205"/>
      <c r="F227" s="205"/>
    </row>
    <row r="228" ht="13.5" customHeight="1">
      <c r="A228" s="182"/>
      <c r="B228" s="205"/>
      <c r="C228" s="205"/>
      <c r="D228" s="205"/>
      <c r="E228" s="205"/>
      <c r="F228" s="205"/>
    </row>
    <row r="229" ht="13.5" customHeight="1">
      <c r="A229" s="182"/>
      <c r="B229" s="205"/>
      <c r="C229" s="205"/>
      <c r="D229" s="205"/>
      <c r="E229" s="205"/>
      <c r="F229" s="205"/>
    </row>
    <row r="230" ht="13.5" customHeight="1">
      <c r="A230" s="182"/>
      <c r="B230" s="205"/>
      <c r="C230" s="205"/>
      <c r="D230" s="205"/>
      <c r="E230" s="205"/>
      <c r="F230" s="205"/>
    </row>
    <row r="231" ht="13.5" customHeight="1">
      <c r="A231" s="182"/>
      <c r="B231" s="205"/>
      <c r="C231" s="205"/>
      <c r="D231" s="205"/>
      <c r="E231" s="205"/>
      <c r="F231" s="205"/>
    </row>
    <row r="232" ht="13.5" customHeight="1">
      <c r="A232" s="182"/>
      <c r="B232" s="205"/>
      <c r="C232" s="205"/>
      <c r="D232" s="205"/>
      <c r="E232" s="205"/>
      <c r="F232" s="205"/>
    </row>
    <row r="233" ht="13.5" customHeight="1">
      <c r="A233" s="182"/>
      <c r="B233" s="205"/>
      <c r="C233" s="205"/>
      <c r="D233" s="205"/>
      <c r="E233" s="205"/>
      <c r="F233" s="205"/>
    </row>
    <row r="234" ht="13.5" customHeight="1">
      <c r="A234" s="182"/>
      <c r="B234" s="205"/>
      <c r="C234" s="205"/>
      <c r="D234" s="205"/>
      <c r="E234" s="205"/>
      <c r="F234" s="205"/>
    </row>
    <row r="235" ht="13.5" customHeight="1">
      <c r="A235" s="182"/>
      <c r="B235" s="205"/>
      <c r="C235" s="205"/>
      <c r="D235" s="205"/>
      <c r="E235" s="205"/>
      <c r="F235" s="205"/>
    </row>
    <row r="236" ht="13.5" customHeight="1">
      <c r="A236" s="182"/>
      <c r="B236" s="205"/>
      <c r="C236" s="205"/>
      <c r="D236" s="205"/>
      <c r="E236" s="205"/>
      <c r="F236" s="205"/>
    </row>
    <row r="237" ht="13.5" customHeight="1">
      <c r="A237" s="182"/>
      <c r="B237" s="205"/>
      <c r="C237" s="205"/>
      <c r="D237" s="205"/>
      <c r="E237" s="205"/>
      <c r="F237" s="205"/>
    </row>
    <row r="238" ht="13.5" customHeight="1">
      <c r="A238" s="182"/>
      <c r="B238" s="205"/>
      <c r="C238" s="205"/>
      <c r="D238" s="205"/>
      <c r="E238" s="205"/>
      <c r="F238" s="205"/>
    </row>
    <row r="239" ht="13.5" customHeight="1">
      <c r="A239" s="182"/>
      <c r="B239" s="205"/>
      <c r="C239" s="205"/>
      <c r="D239" s="205"/>
      <c r="E239" s="205"/>
      <c r="F239" s="205"/>
    </row>
    <row r="240" ht="13.5" customHeight="1">
      <c r="A240" s="182"/>
      <c r="B240" s="205"/>
      <c r="C240" s="205"/>
      <c r="D240" s="205"/>
      <c r="E240" s="205"/>
      <c r="F240" s="205"/>
    </row>
    <row r="241" ht="13.5" customHeight="1">
      <c r="A241" s="182"/>
      <c r="B241" s="205"/>
      <c r="C241" s="205"/>
      <c r="D241" s="205"/>
      <c r="E241" s="205"/>
      <c r="F241" s="205"/>
    </row>
    <row r="242" ht="13.5" customHeight="1">
      <c r="A242" s="182"/>
      <c r="B242" s="205"/>
      <c r="C242" s="205"/>
      <c r="D242" s="205"/>
      <c r="E242" s="205"/>
      <c r="F242" s="205"/>
    </row>
    <row r="243" ht="13.5" customHeight="1">
      <c r="A243" s="182"/>
      <c r="B243" s="205"/>
      <c r="C243" s="205"/>
      <c r="D243" s="205"/>
      <c r="E243" s="205"/>
      <c r="F243" s="205"/>
    </row>
    <row r="244" ht="13.5" customHeight="1">
      <c r="A244" s="182"/>
      <c r="B244" s="205"/>
      <c r="C244" s="205"/>
      <c r="D244" s="205"/>
      <c r="E244" s="205"/>
      <c r="F244" s="205"/>
    </row>
    <row r="245" ht="13.5" customHeight="1">
      <c r="A245" s="182"/>
      <c r="B245" s="205"/>
      <c r="C245" s="205"/>
      <c r="D245" s="205"/>
      <c r="E245" s="205"/>
      <c r="F245" s="205"/>
    </row>
    <row r="246" ht="13.5" customHeight="1">
      <c r="A246" s="182"/>
      <c r="B246" s="205"/>
      <c r="C246" s="205"/>
      <c r="D246" s="205"/>
      <c r="E246" s="205"/>
      <c r="F246" s="205"/>
    </row>
    <row r="247" ht="13.5" customHeight="1">
      <c r="A247" s="182"/>
      <c r="B247" s="205"/>
      <c r="C247" s="205"/>
      <c r="D247" s="205"/>
      <c r="E247" s="205"/>
      <c r="F247" s="205"/>
    </row>
    <row r="248" ht="13.5" customHeight="1">
      <c r="A248" s="182"/>
      <c r="B248" s="205"/>
      <c r="C248" s="205"/>
      <c r="D248" s="205"/>
      <c r="E248" s="205"/>
      <c r="F248" s="205"/>
    </row>
    <row r="249" ht="13.5" customHeight="1">
      <c r="A249" s="182"/>
      <c r="B249" s="205"/>
      <c r="C249" s="205"/>
      <c r="D249" s="205"/>
      <c r="E249" s="205"/>
      <c r="F249" s="205"/>
    </row>
    <row r="250" ht="13.5" customHeight="1">
      <c r="A250" s="182"/>
      <c r="B250" s="205"/>
      <c r="C250" s="205"/>
      <c r="D250" s="205"/>
      <c r="E250" s="205"/>
      <c r="F250" s="205"/>
    </row>
    <row r="251" ht="13.5" customHeight="1">
      <c r="A251" s="182"/>
      <c r="B251" s="205"/>
      <c r="C251" s="205"/>
      <c r="D251" s="205"/>
      <c r="E251" s="205"/>
      <c r="F251" s="205"/>
    </row>
    <row r="252" ht="13.5" customHeight="1">
      <c r="A252" s="182"/>
      <c r="B252" s="205"/>
      <c r="C252" s="205"/>
      <c r="D252" s="205"/>
      <c r="E252" s="205"/>
      <c r="F252" s="205"/>
    </row>
    <row r="253" ht="13.5" customHeight="1">
      <c r="A253" s="182"/>
      <c r="B253" s="205"/>
      <c r="C253" s="205"/>
      <c r="D253" s="205"/>
      <c r="E253" s="205"/>
      <c r="F253" s="205"/>
    </row>
    <row r="254" ht="13.5" customHeight="1">
      <c r="A254" s="182"/>
      <c r="B254" s="205"/>
      <c r="C254" s="205"/>
      <c r="D254" s="205"/>
      <c r="E254" s="205"/>
      <c r="F254" s="205"/>
    </row>
    <row r="255" ht="13.5" customHeight="1">
      <c r="A255" s="182"/>
      <c r="B255" s="205"/>
      <c r="C255" s="205"/>
      <c r="D255" s="205"/>
      <c r="E255" s="205"/>
      <c r="F255" s="205"/>
    </row>
    <row r="256" ht="13.5" customHeight="1">
      <c r="A256" s="182"/>
      <c r="B256" s="205"/>
      <c r="C256" s="205"/>
      <c r="D256" s="205"/>
      <c r="E256" s="205"/>
      <c r="F256" s="205"/>
    </row>
    <row r="257" ht="13.5" customHeight="1">
      <c r="A257" s="182"/>
      <c r="B257" s="205"/>
      <c r="C257" s="205"/>
      <c r="D257" s="205"/>
      <c r="E257" s="205"/>
      <c r="F257" s="205"/>
    </row>
    <row r="258" ht="13.5" customHeight="1">
      <c r="A258" s="182"/>
      <c r="B258" s="205"/>
      <c r="C258" s="205"/>
      <c r="D258" s="205"/>
      <c r="E258" s="205"/>
      <c r="F258" s="205"/>
    </row>
    <row r="259" ht="13.5" customHeight="1">
      <c r="A259" s="182"/>
      <c r="B259" s="205"/>
      <c r="C259" s="205"/>
      <c r="D259" s="205"/>
      <c r="E259" s="205"/>
      <c r="F259" s="205"/>
    </row>
    <row r="260" ht="13.5" customHeight="1">
      <c r="A260" s="182"/>
      <c r="B260" s="205"/>
      <c r="C260" s="205"/>
      <c r="D260" s="205"/>
      <c r="E260" s="205"/>
      <c r="F260" s="205"/>
    </row>
    <row r="261" ht="13.5" customHeight="1">
      <c r="A261" s="182"/>
      <c r="B261" s="205"/>
      <c r="C261" s="205"/>
      <c r="D261" s="205"/>
      <c r="E261" s="205"/>
      <c r="F261" s="205"/>
    </row>
    <row r="262" ht="13.5" customHeight="1">
      <c r="A262" s="182"/>
      <c r="B262" s="205"/>
      <c r="C262" s="205"/>
      <c r="D262" s="205"/>
      <c r="E262" s="205"/>
      <c r="F262" s="205"/>
    </row>
    <row r="263" ht="13.5" customHeight="1">
      <c r="A263" s="182"/>
      <c r="B263" s="205"/>
      <c r="C263" s="205"/>
      <c r="D263" s="205"/>
      <c r="E263" s="205"/>
      <c r="F263" s="205"/>
    </row>
    <row r="264" ht="13.5" customHeight="1">
      <c r="A264" s="182"/>
      <c r="B264" s="205"/>
      <c r="C264" s="205"/>
      <c r="D264" s="205"/>
      <c r="E264" s="205"/>
      <c r="F264" s="205"/>
    </row>
    <row r="265" ht="13.5" customHeight="1">
      <c r="A265" s="182"/>
      <c r="B265" s="205"/>
      <c r="C265" s="205"/>
      <c r="D265" s="205"/>
      <c r="E265" s="205"/>
      <c r="F265" s="205"/>
    </row>
    <row r="266" ht="13.5" customHeight="1">
      <c r="A266" s="182"/>
      <c r="B266" s="205"/>
      <c r="C266" s="205"/>
      <c r="D266" s="205"/>
      <c r="E266" s="205"/>
      <c r="F266" s="205"/>
    </row>
    <row r="267" ht="13.5" customHeight="1">
      <c r="A267" s="182"/>
      <c r="B267" s="205"/>
      <c r="C267" s="205"/>
      <c r="D267" s="205"/>
      <c r="E267" s="205"/>
      <c r="F267" s="205"/>
    </row>
    <row r="268" ht="13.5" customHeight="1">
      <c r="A268" s="182"/>
      <c r="B268" s="205"/>
      <c r="C268" s="205"/>
      <c r="D268" s="205"/>
      <c r="E268" s="205"/>
      <c r="F268" s="205"/>
    </row>
    <row r="269" ht="13.5" customHeight="1">
      <c r="A269" s="182"/>
      <c r="B269" s="205"/>
      <c r="C269" s="205"/>
      <c r="D269" s="205"/>
      <c r="E269" s="205"/>
      <c r="F269" s="205"/>
    </row>
    <row r="270" ht="13.5" customHeight="1">
      <c r="A270" s="182"/>
      <c r="B270" s="205"/>
      <c r="C270" s="205"/>
      <c r="D270" s="205"/>
      <c r="E270" s="205"/>
      <c r="F270" s="205"/>
    </row>
    <row r="271" ht="13.5" customHeight="1">
      <c r="A271" s="182"/>
      <c r="B271" s="205"/>
      <c r="C271" s="205"/>
      <c r="D271" s="205"/>
      <c r="E271" s="205"/>
      <c r="F271" s="205"/>
    </row>
    <row r="272" ht="13.5" customHeight="1">
      <c r="A272" s="182"/>
      <c r="B272" s="205"/>
      <c r="C272" s="205"/>
      <c r="D272" s="205"/>
      <c r="E272" s="205"/>
      <c r="F272" s="205"/>
    </row>
    <row r="273" ht="13.5" customHeight="1">
      <c r="A273" s="182"/>
      <c r="B273" s="205"/>
      <c r="C273" s="205"/>
      <c r="D273" s="205"/>
      <c r="E273" s="205"/>
      <c r="F273" s="205"/>
    </row>
    <row r="274" ht="13.5" customHeight="1">
      <c r="A274" s="182"/>
      <c r="B274" s="205"/>
      <c r="C274" s="205"/>
      <c r="D274" s="205"/>
      <c r="E274" s="205"/>
      <c r="F274" s="205"/>
    </row>
    <row r="275" ht="13.5" customHeight="1">
      <c r="A275" s="182"/>
      <c r="B275" s="205"/>
      <c r="C275" s="205"/>
      <c r="D275" s="205"/>
      <c r="E275" s="205"/>
      <c r="F275" s="205"/>
    </row>
    <row r="276" ht="13.5" customHeight="1">
      <c r="A276" s="182"/>
      <c r="B276" s="205"/>
      <c r="C276" s="205"/>
      <c r="D276" s="205"/>
      <c r="E276" s="205"/>
      <c r="F276" s="205"/>
    </row>
    <row r="277" ht="13.5" customHeight="1">
      <c r="A277" s="182"/>
      <c r="B277" s="205"/>
      <c r="C277" s="205"/>
      <c r="D277" s="205"/>
      <c r="E277" s="205"/>
      <c r="F277" s="205"/>
    </row>
    <row r="278" ht="13.5" customHeight="1">
      <c r="A278" s="182"/>
      <c r="B278" s="205"/>
      <c r="C278" s="205"/>
      <c r="D278" s="205"/>
      <c r="E278" s="205"/>
      <c r="F278" s="205"/>
    </row>
    <row r="279" ht="13.5" customHeight="1">
      <c r="A279" s="182"/>
      <c r="B279" s="205"/>
      <c r="C279" s="205"/>
      <c r="D279" s="205"/>
      <c r="E279" s="205"/>
      <c r="F279" s="205"/>
    </row>
    <row r="280" ht="13.5" customHeight="1">
      <c r="A280" s="182"/>
      <c r="B280" s="205"/>
      <c r="C280" s="205"/>
      <c r="D280" s="205"/>
      <c r="E280" s="205"/>
      <c r="F280" s="205"/>
    </row>
    <row r="281" ht="13.5" customHeight="1">
      <c r="A281" s="182"/>
      <c r="B281" s="205"/>
      <c r="C281" s="205"/>
      <c r="D281" s="205"/>
      <c r="E281" s="205"/>
      <c r="F281" s="205"/>
    </row>
    <row r="282" ht="13.5" customHeight="1">
      <c r="A282" s="182"/>
      <c r="B282" s="205"/>
      <c r="C282" s="205"/>
      <c r="D282" s="205"/>
      <c r="E282" s="205"/>
      <c r="F282" s="205"/>
    </row>
    <row r="283" ht="13.5" customHeight="1">
      <c r="A283" s="182"/>
      <c r="B283" s="205"/>
      <c r="C283" s="205"/>
      <c r="D283" s="205"/>
      <c r="E283" s="205"/>
      <c r="F283" s="205"/>
    </row>
    <row r="284" ht="13.5" customHeight="1">
      <c r="A284" s="182"/>
      <c r="B284" s="205"/>
      <c r="C284" s="205"/>
      <c r="D284" s="205"/>
      <c r="E284" s="205"/>
      <c r="F284" s="205"/>
    </row>
    <row r="285" ht="13.5" customHeight="1">
      <c r="A285" s="182"/>
      <c r="B285" s="205"/>
      <c r="C285" s="205"/>
      <c r="D285" s="205"/>
      <c r="E285" s="205"/>
      <c r="F285" s="205"/>
    </row>
    <row r="286" ht="13.5" customHeight="1">
      <c r="A286" s="182"/>
      <c r="B286" s="205"/>
      <c r="C286" s="205"/>
      <c r="D286" s="205"/>
      <c r="E286" s="205"/>
      <c r="F286" s="205"/>
    </row>
    <row r="287" ht="13.5" customHeight="1">
      <c r="A287" s="182"/>
      <c r="B287" s="205"/>
      <c r="C287" s="205"/>
      <c r="D287" s="205"/>
      <c r="E287" s="205"/>
      <c r="F287" s="205"/>
    </row>
    <row r="288" ht="13.5" customHeight="1">
      <c r="A288" s="182"/>
      <c r="B288" s="205"/>
      <c r="C288" s="205"/>
      <c r="D288" s="205"/>
      <c r="E288" s="205"/>
      <c r="F288" s="205"/>
    </row>
    <row r="289" ht="13.5" customHeight="1">
      <c r="A289" s="182"/>
      <c r="B289" s="205"/>
      <c r="C289" s="205"/>
      <c r="D289" s="205"/>
      <c r="E289" s="205"/>
      <c r="F289" s="205"/>
    </row>
    <row r="290" ht="13.5" customHeight="1">
      <c r="A290" s="182"/>
      <c r="B290" s="205"/>
      <c r="C290" s="205"/>
      <c r="D290" s="205"/>
      <c r="E290" s="205"/>
      <c r="F290" s="205"/>
    </row>
    <row r="291" ht="13.5" customHeight="1">
      <c r="A291" s="182"/>
      <c r="B291" s="205"/>
      <c r="C291" s="205"/>
      <c r="D291" s="205"/>
      <c r="E291" s="205"/>
      <c r="F291" s="205"/>
    </row>
    <row r="292" ht="13.5" customHeight="1">
      <c r="A292" s="182"/>
      <c r="B292" s="205"/>
      <c r="C292" s="205"/>
      <c r="D292" s="205"/>
      <c r="E292" s="205"/>
      <c r="F292" s="205"/>
    </row>
    <row r="293" ht="13.5" customHeight="1">
      <c r="A293" s="182"/>
      <c r="B293" s="205"/>
      <c r="C293" s="205"/>
      <c r="D293" s="205"/>
      <c r="E293" s="205"/>
      <c r="F293" s="205"/>
    </row>
    <row r="294" ht="13.5" customHeight="1">
      <c r="A294" s="182"/>
      <c r="B294" s="205"/>
      <c r="C294" s="205"/>
      <c r="D294" s="205"/>
      <c r="E294" s="205"/>
      <c r="F294" s="205"/>
    </row>
    <row r="295" ht="13.5" customHeight="1">
      <c r="A295" s="182"/>
      <c r="B295" s="205"/>
      <c r="C295" s="205"/>
      <c r="D295" s="205"/>
      <c r="E295" s="205"/>
      <c r="F295" s="205"/>
    </row>
    <row r="296" ht="13.5" customHeight="1">
      <c r="A296" s="182"/>
      <c r="B296" s="205"/>
      <c r="C296" s="205"/>
      <c r="D296" s="205"/>
      <c r="E296" s="205"/>
      <c r="F296" s="205"/>
    </row>
    <row r="297" ht="13.5" customHeight="1">
      <c r="A297" s="182"/>
      <c r="B297" s="205"/>
      <c r="C297" s="205"/>
      <c r="D297" s="205"/>
      <c r="E297" s="205"/>
      <c r="F297" s="205"/>
    </row>
    <row r="298" ht="13.5" customHeight="1">
      <c r="A298" s="182"/>
      <c r="B298" s="205"/>
      <c r="C298" s="205"/>
      <c r="D298" s="205"/>
      <c r="E298" s="205"/>
      <c r="F298" s="205"/>
    </row>
    <row r="299" ht="13.5" customHeight="1">
      <c r="A299" s="182"/>
      <c r="B299" s="205"/>
      <c r="C299" s="205"/>
      <c r="D299" s="205"/>
      <c r="E299" s="205"/>
      <c r="F299" s="205"/>
    </row>
    <row r="300" ht="13.5" customHeight="1">
      <c r="A300" s="182"/>
      <c r="B300" s="205"/>
      <c r="C300" s="205"/>
      <c r="D300" s="205"/>
      <c r="E300" s="205"/>
      <c r="F300" s="205"/>
    </row>
    <row r="301" ht="13.5" customHeight="1">
      <c r="A301" s="182"/>
      <c r="B301" s="205"/>
      <c r="C301" s="205"/>
      <c r="D301" s="205"/>
      <c r="E301" s="205"/>
      <c r="F301" s="205"/>
    </row>
    <row r="302" ht="13.5" customHeight="1">
      <c r="A302" s="182"/>
      <c r="B302" s="205"/>
      <c r="C302" s="205"/>
      <c r="D302" s="205"/>
      <c r="E302" s="205"/>
      <c r="F302" s="205"/>
    </row>
    <row r="303" ht="13.5" customHeight="1">
      <c r="A303" s="182"/>
      <c r="B303" s="205"/>
      <c r="C303" s="205"/>
      <c r="D303" s="205"/>
      <c r="E303" s="205"/>
      <c r="F303" s="205"/>
    </row>
    <row r="304" ht="13.5" customHeight="1">
      <c r="A304" s="182"/>
      <c r="B304" s="205"/>
      <c r="C304" s="205"/>
      <c r="D304" s="205"/>
      <c r="E304" s="205"/>
      <c r="F304" s="205"/>
    </row>
    <row r="305" ht="13.5" customHeight="1">
      <c r="A305" s="182"/>
      <c r="B305" s="205"/>
      <c r="C305" s="205"/>
      <c r="D305" s="205"/>
      <c r="E305" s="205"/>
      <c r="F305" s="205"/>
    </row>
    <row r="306" ht="13.5" customHeight="1">
      <c r="A306" s="182"/>
      <c r="B306" s="205"/>
      <c r="C306" s="205"/>
      <c r="D306" s="205"/>
      <c r="E306" s="205"/>
      <c r="F306" s="205"/>
    </row>
    <row r="307" ht="13.5" customHeight="1">
      <c r="A307" s="182"/>
      <c r="B307" s="205"/>
      <c r="C307" s="205"/>
      <c r="D307" s="205"/>
      <c r="E307" s="205"/>
      <c r="F307" s="205"/>
    </row>
    <row r="308" ht="13.5" customHeight="1">
      <c r="A308" s="182"/>
      <c r="B308" s="205"/>
      <c r="C308" s="205"/>
      <c r="D308" s="205"/>
      <c r="E308" s="205"/>
      <c r="F308" s="205"/>
    </row>
    <row r="309" ht="13.5" customHeight="1">
      <c r="A309" s="182"/>
      <c r="B309" s="205"/>
      <c r="C309" s="205"/>
      <c r="D309" s="205"/>
      <c r="E309" s="205"/>
      <c r="F309" s="205"/>
    </row>
    <row r="310" ht="13.5" customHeight="1">
      <c r="A310" s="182"/>
      <c r="B310" s="205"/>
      <c r="C310" s="205"/>
      <c r="D310" s="205"/>
      <c r="E310" s="205"/>
      <c r="F310" s="205"/>
    </row>
    <row r="311" ht="13.5" customHeight="1">
      <c r="A311" s="182"/>
      <c r="B311" s="205"/>
      <c r="C311" s="205"/>
      <c r="D311" s="205"/>
      <c r="E311" s="205"/>
      <c r="F311" s="205"/>
    </row>
    <row r="312" ht="13.5" customHeight="1">
      <c r="A312" s="182"/>
      <c r="B312" s="205"/>
      <c r="C312" s="205"/>
      <c r="D312" s="205"/>
      <c r="E312" s="205"/>
      <c r="F312" s="205"/>
    </row>
    <row r="313" ht="13.5" customHeight="1">
      <c r="A313" s="182"/>
      <c r="B313" s="205"/>
      <c r="C313" s="205"/>
      <c r="D313" s="205"/>
      <c r="E313" s="205"/>
      <c r="F313" s="205"/>
    </row>
    <row r="314" ht="13.5" customHeight="1">
      <c r="A314" s="182"/>
      <c r="B314" s="205"/>
      <c r="C314" s="205"/>
      <c r="D314" s="205"/>
      <c r="E314" s="205"/>
      <c r="F314" s="205"/>
    </row>
    <row r="315" ht="13.5" customHeight="1">
      <c r="A315" s="182"/>
      <c r="B315" s="205"/>
      <c r="C315" s="205"/>
      <c r="D315" s="205"/>
      <c r="E315" s="205"/>
      <c r="F315" s="205"/>
    </row>
    <row r="316" ht="13.5" customHeight="1">
      <c r="A316" s="182"/>
      <c r="B316" s="205"/>
      <c r="C316" s="205"/>
      <c r="D316" s="205"/>
      <c r="E316" s="205"/>
      <c r="F316" s="205"/>
    </row>
    <row r="317" ht="13.5" customHeight="1">
      <c r="A317" s="182"/>
      <c r="B317" s="205"/>
      <c r="C317" s="205"/>
      <c r="D317" s="205"/>
      <c r="E317" s="205"/>
      <c r="F317" s="205"/>
    </row>
    <row r="318" ht="13.5" customHeight="1">
      <c r="A318" s="182"/>
      <c r="B318" s="205"/>
      <c r="C318" s="205"/>
      <c r="D318" s="205"/>
      <c r="E318" s="205"/>
      <c r="F318" s="205"/>
    </row>
    <row r="319" ht="13.5" customHeight="1">
      <c r="A319" s="182"/>
      <c r="B319" s="205"/>
      <c r="C319" s="205"/>
      <c r="D319" s="205"/>
      <c r="E319" s="205"/>
      <c r="F319" s="205"/>
    </row>
    <row r="320" ht="13.5" customHeight="1">
      <c r="A320" s="182"/>
      <c r="B320" s="205"/>
      <c r="C320" s="205"/>
      <c r="D320" s="205"/>
      <c r="E320" s="205"/>
      <c r="F320" s="205"/>
    </row>
    <row r="321" ht="13.5" customHeight="1">
      <c r="A321" s="182"/>
      <c r="B321" s="205"/>
      <c r="C321" s="205"/>
      <c r="D321" s="205"/>
      <c r="E321" s="205"/>
      <c r="F321" s="205"/>
    </row>
    <row r="322" ht="13.5" customHeight="1">
      <c r="A322" s="182"/>
      <c r="B322" s="205"/>
      <c r="C322" s="205"/>
      <c r="D322" s="205"/>
      <c r="E322" s="205"/>
      <c r="F322" s="205"/>
    </row>
    <row r="323" ht="13.5" customHeight="1">
      <c r="A323" s="182"/>
      <c r="B323" s="205"/>
      <c r="C323" s="205"/>
      <c r="D323" s="205"/>
      <c r="E323" s="205"/>
      <c r="F323" s="205"/>
    </row>
    <row r="324" ht="13.5" customHeight="1">
      <c r="A324" s="182"/>
      <c r="B324" s="205"/>
      <c r="C324" s="205"/>
      <c r="D324" s="205"/>
      <c r="E324" s="205"/>
      <c r="F324" s="205"/>
    </row>
    <row r="325" ht="13.5" customHeight="1">
      <c r="A325" s="182"/>
      <c r="B325" s="205"/>
      <c r="C325" s="205"/>
      <c r="D325" s="205"/>
      <c r="E325" s="205"/>
      <c r="F325" s="205"/>
    </row>
    <row r="326" ht="13.5" customHeight="1">
      <c r="A326" s="182"/>
      <c r="B326" s="205"/>
      <c r="C326" s="205"/>
      <c r="D326" s="205"/>
      <c r="E326" s="205"/>
      <c r="F326" s="205"/>
    </row>
    <row r="327" ht="13.5" customHeight="1">
      <c r="A327" s="182"/>
      <c r="B327" s="205"/>
      <c r="C327" s="205"/>
      <c r="D327" s="205"/>
      <c r="E327" s="205"/>
      <c r="F327" s="205"/>
    </row>
    <row r="328" ht="13.5" customHeight="1">
      <c r="A328" s="182"/>
      <c r="B328" s="205"/>
      <c r="C328" s="205"/>
      <c r="D328" s="205"/>
      <c r="E328" s="205"/>
      <c r="F328" s="205"/>
    </row>
    <row r="329" ht="13.5" customHeight="1">
      <c r="A329" s="182"/>
      <c r="B329" s="205"/>
      <c r="C329" s="205"/>
      <c r="D329" s="205"/>
      <c r="E329" s="205"/>
      <c r="F329" s="205"/>
    </row>
    <row r="330" ht="13.5" customHeight="1">
      <c r="A330" s="182"/>
      <c r="B330" s="205"/>
      <c r="C330" s="205"/>
      <c r="D330" s="205"/>
      <c r="E330" s="205"/>
      <c r="F330" s="205"/>
    </row>
    <row r="331" ht="13.5" customHeight="1">
      <c r="A331" s="182"/>
      <c r="B331" s="205"/>
      <c r="C331" s="205"/>
      <c r="D331" s="205"/>
      <c r="E331" s="205"/>
      <c r="F331" s="205"/>
    </row>
    <row r="332" ht="13.5" customHeight="1">
      <c r="A332" s="182"/>
      <c r="B332" s="205"/>
      <c r="C332" s="205"/>
      <c r="D332" s="205"/>
      <c r="E332" s="205"/>
      <c r="F332" s="205"/>
    </row>
    <row r="333" ht="13.5" customHeight="1">
      <c r="A333" s="182"/>
      <c r="B333" s="205"/>
      <c r="C333" s="205"/>
      <c r="D333" s="205"/>
      <c r="E333" s="205"/>
      <c r="F333" s="205"/>
    </row>
    <row r="334" ht="13.5" customHeight="1">
      <c r="A334" s="182"/>
      <c r="B334" s="205"/>
      <c r="C334" s="205"/>
      <c r="D334" s="205"/>
      <c r="E334" s="205"/>
      <c r="F334" s="205"/>
    </row>
    <row r="335" ht="13.5" customHeight="1">
      <c r="A335" s="182"/>
      <c r="B335" s="205"/>
      <c r="C335" s="205"/>
      <c r="D335" s="205"/>
      <c r="E335" s="205"/>
      <c r="F335" s="205"/>
    </row>
    <row r="336" ht="13.5" customHeight="1">
      <c r="A336" s="182"/>
      <c r="B336" s="205"/>
      <c r="C336" s="205"/>
      <c r="D336" s="205"/>
      <c r="E336" s="205"/>
      <c r="F336" s="205"/>
    </row>
    <row r="337" ht="13.5" customHeight="1">
      <c r="A337" s="182"/>
      <c r="B337" s="205"/>
      <c r="C337" s="205"/>
      <c r="D337" s="205"/>
      <c r="E337" s="205"/>
      <c r="F337" s="205"/>
    </row>
    <row r="338" ht="13.5" customHeight="1">
      <c r="A338" s="182"/>
      <c r="B338" s="205"/>
      <c r="C338" s="205"/>
      <c r="D338" s="205"/>
      <c r="E338" s="205"/>
      <c r="F338" s="205"/>
    </row>
    <row r="339" ht="13.5" customHeight="1">
      <c r="A339" s="182"/>
      <c r="B339" s="205"/>
      <c r="C339" s="205"/>
      <c r="D339" s="205"/>
      <c r="E339" s="205"/>
      <c r="F339" s="205"/>
    </row>
    <row r="340" ht="13.5" customHeight="1">
      <c r="A340" s="182"/>
      <c r="B340" s="205"/>
      <c r="C340" s="205"/>
      <c r="D340" s="205"/>
      <c r="E340" s="205"/>
      <c r="F340" s="205"/>
    </row>
    <row r="341" ht="13.5" customHeight="1">
      <c r="A341" s="182"/>
      <c r="B341" s="205"/>
      <c r="C341" s="205"/>
      <c r="D341" s="205"/>
      <c r="E341" s="205"/>
      <c r="F341" s="205"/>
    </row>
    <row r="342" ht="13.5" customHeight="1">
      <c r="A342" s="182"/>
      <c r="B342" s="205"/>
      <c r="C342" s="205"/>
      <c r="D342" s="205"/>
      <c r="E342" s="205"/>
      <c r="F342" s="205"/>
    </row>
    <row r="343" ht="13.5" customHeight="1">
      <c r="A343" s="182"/>
      <c r="B343" s="205"/>
      <c r="C343" s="205"/>
      <c r="D343" s="205"/>
      <c r="E343" s="205"/>
      <c r="F343" s="205"/>
    </row>
    <row r="344" ht="13.5" customHeight="1">
      <c r="A344" s="182"/>
      <c r="B344" s="205"/>
      <c r="C344" s="205"/>
      <c r="D344" s="205"/>
      <c r="E344" s="205"/>
      <c r="F344" s="205"/>
    </row>
    <row r="345" ht="13.5" customHeight="1">
      <c r="A345" s="182"/>
      <c r="B345" s="205"/>
      <c r="C345" s="205"/>
      <c r="D345" s="205"/>
      <c r="E345" s="205"/>
      <c r="F345" s="205"/>
    </row>
    <row r="346" ht="13.5" customHeight="1">
      <c r="A346" s="182"/>
      <c r="B346" s="205"/>
      <c r="C346" s="205"/>
      <c r="D346" s="205"/>
      <c r="E346" s="205"/>
      <c r="F346" s="205"/>
    </row>
    <row r="347" ht="13.5" customHeight="1">
      <c r="A347" s="182"/>
      <c r="B347" s="205"/>
      <c r="C347" s="205"/>
      <c r="D347" s="205"/>
      <c r="E347" s="205"/>
      <c r="F347" s="205"/>
    </row>
    <row r="348" ht="13.5" customHeight="1">
      <c r="A348" s="182"/>
      <c r="B348" s="205"/>
      <c r="C348" s="205"/>
      <c r="D348" s="205"/>
      <c r="E348" s="205"/>
      <c r="F348" s="205"/>
    </row>
    <row r="349" ht="13.5" customHeight="1">
      <c r="A349" s="182"/>
      <c r="B349" s="205"/>
      <c r="C349" s="205"/>
      <c r="D349" s="205"/>
      <c r="E349" s="205"/>
      <c r="F349" s="205"/>
    </row>
    <row r="350" ht="13.5" customHeight="1">
      <c r="A350" s="182"/>
      <c r="B350" s="205"/>
      <c r="C350" s="205"/>
      <c r="D350" s="205"/>
      <c r="E350" s="205"/>
      <c r="F350" s="205"/>
    </row>
    <row r="351" ht="13.5" customHeight="1">
      <c r="A351" s="182"/>
      <c r="B351" s="205"/>
      <c r="C351" s="205"/>
      <c r="D351" s="205"/>
      <c r="E351" s="205"/>
      <c r="F351" s="205"/>
    </row>
    <row r="352" ht="13.5" customHeight="1">
      <c r="A352" s="182"/>
      <c r="B352" s="205"/>
      <c r="C352" s="205"/>
      <c r="D352" s="205"/>
      <c r="E352" s="205"/>
      <c r="F352" s="205"/>
    </row>
    <row r="353" ht="13.5" customHeight="1">
      <c r="A353" s="182"/>
      <c r="B353" s="205"/>
      <c r="C353" s="205"/>
      <c r="D353" s="205"/>
      <c r="E353" s="205"/>
      <c r="F353" s="205"/>
    </row>
    <row r="354" ht="13.5" customHeight="1">
      <c r="A354" s="182"/>
      <c r="B354" s="205"/>
      <c r="C354" s="205"/>
      <c r="D354" s="205"/>
      <c r="E354" s="205"/>
      <c r="F354" s="205"/>
    </row>
    <row r="355" ht="13.5" customHeight="1">
      <c r="A355" s="182"/>
      <c r="B355" s="205"/>
      <c r="C355" s="205"/>
      <c r="D355" s="205"/>
      <c r="E355" s="205"/>
      <c r="F355" s="205"/>
    </row>
    <row r="356" ht="13.5" customHeight="1">
      <c r="A356" s="182"/>
      <c r="B356" s="205"/>
      <c r="C356" s="205"/>
      <c r="D356" s="205"/>
      <c r="E356" s="205"/>
      <c r="F356" s="205"/>
    </row>
    <row r="357" ht="13.5" customHeight="1">
      <c r="A357" s="182"/>
      <c r="B357" s="205"/>
      <c r="C357" s="205"/>
      <c r="D357" s="205"/>
      <c r="E357" s="205"/>
      <c r="F357" s="205"/>
    </row>
    <row r="358" ht="13.5" customHeight="1">
      <c r="A358" s="182"/>
      <c r="B358" s="205"/>
      <c r="C358" s="205"/>
      <c r="D358" s="205"/>
      <c r="E358" s="205"/>
      <c r="F358" s="205"/>
    </row>
    <row r="359" ht="13.5" customHeight="1">
      <c r="A359" s="182"/>
      <c r="B359" s="205"/>
      <c r="C359" s="205"/>
      <c r="D359" s="205"/>
      <c r="E359" s="205"/>
      <c r="F359" s="205"/>
    </row>
    <row r="360" ht="13.5" customHeight="1">
      <c r="A360" s="182"/>
      <c r="B360" s="205"/>
      <c r="C360" s="205"/>
      <c r="D360" s="205"/>
      <c r="E360" s="205"/>
      <c r="F360" s="205"/>
    </row>
    <row r="361" ht="13.5" customHeight="1">
      <c r="A361" s="182"/>
      <c r="B361" s="205"/>
      <c r="C361" s="205"/>
      <c r="D361" s="205"/>
      <c r="E361" s="205"/>
      <c r="F361" s="205"/>
    </row>
    <row r="362" ht="13.5" customHeight="1">
      <c r="A362" s="182"/>
      <c r="B362" s="205"/>
      <c r="C362" s="205"/>
      <c r="D362" s="205"/>
      <c r="E362" s="205"/>
      <c r="F362" s="205"/>
    </row>
    <row r="363" ht="13.5" customHeight="1">
      <c r="A363" s="182"/>
      <c r="B363" s="205"/>
      <c r="C363" s="205"/>
      <c r="D363" s="205"/>
      <c r="E363" s="205"/>
      <c r="F363" s="205"/>
    </row>
    <row r="364" ht="13.5" customHeight="1">
      <c r="A364" s="182"/>
      <c r="B364" s="205"/>
      <c r="C364" s="205"/>
      <c r="D364" s="205"/>
      <c r="E364" s="205"/>
      <c r="F364" s="205"/>
    </row>
    <row r="365" ht="13.5" customHeight="1">
      <c r="A365" s="182"/>
      <c r="B365" s="205"/>
      <c r="C365" s="205"/>
      <c r="D365" s="205"/>
      <c r="E365" s="205"/>
      <c r="F365" s="205"/>
    </row>
    <row r="366" ht="13.5" customHeight="1">
      <c r="A366" s="182"/>
      <c r="B366" s="205"/>
      <c r="C366" s="205"/>
      <c r="D366" s="205"/>
      <c r="E366" s="205"/>
      <c r="F366" s="205"/>
    </row>
    <row r="367" ht="13.5" customHeight="1">
      <c r="A367" s="182"/>
      <c r="B367" s="205"/>
      <c r="C367" s="205"/>
      <c r="D367" s="205"/>
      <c r="E367" s="205"/>
      <c r="F367" s="205"/>
    </row>
    <row r="368" ht="13.5" customHeight="1">
      <c r="A368" s="182"/>
      <c r="B368" s="205"/>
      <c r="C368" s="205"/>
      <c r="D368" s="205"/>
      <c r="E368" s="205"/>
      <c r="F368" s="205"/>
    </row>
    <row r="369" ht="13.5" customHeight="1">
      <c r="A369" s="182"/>
      <c r="B369" s="205"/>
      <c r="C369" s="205"/>
      <c r="D369" s="205"/>
      <c r="E369" s="205"/>
      <c r="F369" s="205"/>
    </row>
    <row r="370" ht="13.5" customHeight="1">
      <c r="A370" s="182"/>
      <c r="B370" s="205"/>
      <c r="C370" s="205"/>
      <c r="D370" s="205"/>
      <c r="E370" s="205"/>
      <c r="F370" s="205"/>
    </row>
    <row r="371" ht="13.5" customHeight="1">
      <c r="A371" s="182"/>
      <c r="B371" s="205"/>
      <c r="C371" s="205"/>
      <c r="D371" s="205"/>
      <c r="E371" s="205"/>
      <c r="F371" s="205"/>
    </row>
    <row r="372" ht="13.5" customHeight="1">
      <c r="A372" s="182"/>
      <c r="B372" s="205"/>
      <c r="C372" s="205"/>
      <c r="D372" s="205"/>
      <c r="E372" s="205"/>
      <c r="F372" s="205"/>
    </row>
    <row r="373" ht="13.5" customHeight="1">
      <c r="A373" s="182"/>
      <c r="B373" s="205"/>
      <c r="C373" s="205"/>
      <c r="D373" s="205"/>
      <c r="E373" s="205"/>
      <c r="F373" s="205"/>
    </row>
    <row r="374" ht="13.5" customHeight="1">
      <c r="A374" s="182"/>
      <c r="B374" s="205"/>
      <c r="C374" s="205"/>
      <c r="D374" s="205"/>
      <c r="E374" s="205"/>
      <c r="F374" s="205"/>
    </row>
    <row r="375" ht="13.5" customHeight="1">
      <c r="A375" s="182"/>
      <c r="B375" s="205"/>
      <c r="C375" s="205"/>
      <c r="D375" s="205"/>
      <c r="E375" s="205"/>
      <c r="F375" s="205"/>
    </row>
    <row r="376" ht="13.5" customHeight="1">
      <c r="A376" s="182"/>
      <c r="B376" s="205"/>
      <c r="C376" s="205"/>
      <c r="D376" s="205"/>
      <c r="E376" s="205"/>
      <c r="F376" s="205"/>
    </row>
    <row r="377" ht="13.5" customHeight="1">
      <c r="A377" s="182"/>
      <c r="B377" s="205"/>
      <c r="C377" s="205"/>
      <c r="D377" s="205"/>
      <c r="E377" s="205"/>
      <c r="F377" s="205"/>
    </row>
    <row r="378" ht="13.5" customHeight="1">
      <c r="A378" s="182"/>
      <c r="B378" s="205"/>
      <c r="C378" s="205"/>
      <c r="D378" s="205"/>
      <c r="E378" s="205"/>
      <c r="F378" s="205"/>
    </row>
    <row r="379" ht="13.5" customHeight="1">
      <c r="A379" s="182"/>
      <c r="B379" s="205"/>
      <c r="C379" s="205"/>
      <c r="D379" s="205"/>
      <c r="E379" s="205"/>
      <c r="F379" s="205"/>
    </row>
    <row r="380" ht="13.5" customHeight="1">
      <c r="A380" s="182"/>
      <c r="B380" s="205"/>
      <c r="C380" s="205"/>
      <c r="D380" s="205"/>
      <c r="E380" s="205"/>
      <c r="F380" s="205"/>
    </row>
    <row r="381" ht="13.5" customHeight="1">
      <c r="A381" s="182"/>
      <c r="B381" s="205"/>
      <c r="C381" s="205"/>
      <c r="D381" s="205"/>
      <c r="E381" s="205"/>
      <c r="F381" s="205"/>
    </row>
    <row r="382" ht="13.5" customHeight="1">
      <c r="A382" s="182"/>
      <c r="B382" s="205"/>
      <c r="C382" s="205"/>
      <c r="D382" s="205"/>
      <c r="E382" s="205"/>
      <c r="F382" s="205"/>
    </row>
    <row r="383" ht="13.5" customHeight="1">
      <c r="A383" s="182"/>
      <c r="B383" s="205"/>
      <c r="C383" s="205"/>
      <c r="D383" s="205"/>
      <c r="E383" s="205"/>
      <c r="F383" s="205"/>
    </row>
    <row r="384" ht="13.5" customHeight="1">
      <c r="A384" s="182"/>
      <c r="B384" s="205"/>
      <c r="C384" s="205"/>
      <c r="D384" s="205"/>
      <c r="E384" s="205"/>
      <c r="F384" s="205"/>
    </row>
    <row r="385" ht="13.5" customHeight="1">
      <c r="A385" s="182"/>
      <c r="B385" s="205"/>
      <c r="C385" s="205"/>
      <c r="D385" s="205"/>
      <c r="E385" s="205"/>
      <c r="F385" s="205"/>
    </row>
    <row r="386" ht="13.5" customHeight="1">
      <c r="A386" s="182"/>
      <c r="B386" s="205"/>
      <c r="C386" s="205"/>
      <c r="D386" s="205"/>
      <c r="E386" s="205"/>
      <c r="F386" s="205"/>
    </row>
    <row r="387" ht="13.5" customHeight="1">
      <c r="A387" s="182"/>
      <c r="B387" s="205"/>
      <c r="C387" s="205"/>
      <c r="D387" s="205"/>
      <c r="E387" s="205"/>
      <c r="F387" s="205"/>
    </row>
    <row r="388" ht="13.5" customHeight="1">
      <c r="A388" s="182"/>
      <c r="B388" s="205"/>
      <c r="C388" s="205"/>
      <c r="D388" s="205"/>
      <c r="E388" s="205"/>
      <c r="F388" s="205"/>
    </row>
    <row r="389" ht="13.5" customHeight="1">
      <c r="A389" s="182"/>
      <c r="B389" s="205"/>
      <c r="C389" s="205"/>
      <c r="D389" s="205"/>
      <c r="E389" s="205"/>
      <c r="F389" s="205"/>
    </row>
    <row r="390" ht="13.5" customHeight="1">
      <c r="A390" s="182"/>
      <c r="B390" s="205"/>
      <c r="C390" s="205"/>
      <c r="D390" s="205"/>
      <c r="E390" s="205"/>
      <c r="F390" s="205"/>
    </row>
    <row r="391" ht="13.5" customHeight="1">
      <c r="A391" s="182"/>
      <c r="B391" s="205"/>
      <c r="C391" s="205"/>
      <c r="D391" s="205"/>
      <c r="E391" s="205"/>
      <c r="F391" s="205"/>
    </row>
    <row r="392" ht="13.5" customHeight="1">
      <c r="A392" s="182"/>
      <c r="B392" s="205"/>
      <c r="C392" s="205"/>
      <c r="D392" s="205"/>
      <c r="E392" s="205"/>
      <c r="F392" s="205"/>
    </row>
    <row r="393" ht="13.5" customHeight="1">
      <c r="A393" s="182"/>
      <c r="B393" s="205"/>
      <c r="C393" s="205"/>
      <c r="D393" s="205"/>
      <c r="E393" s="205"/>
      <c r="F393" s="205"/>
    </row>
    <row r="394" ht="13.5" customHeight="1">
      <c r="A394" s="182"/>
      <c r="B394" s="205"/>
      <c r="C394" s="205"/>
      <c r="D394" s="205"/>
      <c r="E394" s="205"/>
      <c r="F394" s="205"/>
    </row>
    <row r="395" ht="13.5" customHeight="1">
      <c r="A395" s="182"/>
      <c r="B395" s="205"/>
      <c r="C395" s="205"/>
      <c r="D395" s="205"/>
      <c r="E395" s="205"/>
      <c r="F395" s="205"/>
    </row>
    <row r="396" ht="13.5" customHeight="1">
      <c r="A396" s="182"/>
      <c r="B396" s="205"/>
      <c r="C396" s="205"/>
      <c r="D396" s="205"/>
      <c r="E396" s="205"/>
      <c r="F396" s="205"/>
    </row>
    <row r="397" ht="13.5" customHeight="1">
      <c r="A397" s="182"/>
      <c r="B397" s="205"/>
      <c r="C397" s="205"/>
      <c r="D397" s="205"/>
      <c r="E397" s="205"/>
      <c r="F397" s="205"/>
    </row>
    <row r="398" ht="13.5" customHeight="1">
      <c r="A398" s="182"/>
      <c r="B398" s="205"/>
      <c r="C398" s="205"/>
      <c r="D398" s="205"/>
      <c r="E398" s="205"/>
      <c r="F398" s="205"/>
    </row>
    <row r="399" ht="13.5" customHeight="1">
      <c r="A399" s="182"/>
      <c r="B399" s="205"/>
      <c r="C399" s="205"/>
      <c r="D399" s="205"/>
      <c r="E399" s="205"/>
      <c r="F399" s="205"/>
    </row>
    <row r="400" ht="13.5" customHeight="1">
      <c r="A400" s="182"/>
      <c r="B400" s="205"/>
      <c r="C400" s="205"/>
      <c r="D400" s="205"/>
      <c r="E400" s="205"/>
      <c r="F400" s="205"/>
    </row>
    <row r="401" ht="13.5" customHeight="1">
      <c r="A401" s="182"/>
      <c r="B401" s="205"/>
      <c r="C401" s="205"/>
      <c r="D401" s="205"/>
      <c r="E401" s="205"/>
      <c r="F401" s="205"/>
    </row>
    <row r="402" ht="13.5" customHeight="1">
      <c r="A402" s="182"/>
      <c r="B402" s="205"/>
      <c r="C402" s="205"/>
      <c r="D402" s="205"/>
      <c r="E402" s="205"/>
      <c r="F402" s="205"/>
    </row>
    <row r="403" ht="13.5" customHeight="1">
      <c r="A403" s="182"/>
      <c r="B403" s="205"/>
      <c r="C403" s="205"/>
      <c r="D403" s="205"/>
      <c r="E403" s="205"/>
      <c r="F403" s="205"/>
    </row>
    <row r="404" ht="13.5" customHeight="1">
      <c r="A404" s="182"/>
      <c r="B404" s="205"/>
      <c r="C404" s="205"/>
      <c r="D404" s="205"/>
      <c r="E404" s="205"/>
      <c r="F404" s="205"/>
    </row>
    <row r="405" ht="13.5" customHeight="1">
      <c r="A405" s="182"/>
      <c r="B405" s="205"/>
      <c r="C405" s="205"/>
      <c r="D405" s="205"/>
      <c r="E405" s="205"/>
      <c r="F405" s="205"/>
    </row>
    <row r="406" ht="13.5" customHeight="1">
      <c r="A406" s="182"/>
      <c r="B406" s="205"/>
      <c r="C406" s="205"/>
      <c r="D406" s="205"/>
      <c r="E406" s="205"/>
      <c r="F406" s="205"/>
    </row>
    <row r="407" ht="13.5" customHeight="1">
      <c r="A407" s="182"/>
      <c r="B407" s="205"/>
      <c r="C407" s="205"/>
      <c r="D407" s="205"/>
      <c r="E407" s="205"/>
      <c r="F407" s="205"/>
    </row>
    <row r="408" ht="13.5" customHeight="1">
      <c r="A408" s="182"/>
      <c r="B408" s="205"/>
      <c r="C408" s="205"/>
      <c r="D408" s="205"/>
      <c r="E408" s="205"/>
      <c r="F408" s="205"/>
    </row>
    <row r="409" ht="13.5" customHeight="1">
      <c r="A409" s="182"/>
      <c r="B409" s="205"/>
      <c r="C409" s="205"/>
      <c r="D409" s="205"/>
      <c r="E409" s="205"/>
      <c r="F409" s="205"/>
    </row>
    <row r="410" ht="13.5" customHeight="1">
      <c r="A410" s="182"/>
      <c r="B410" s="205"/>
      <c r="C410" s="205"/>
      <c r="D410" s="205"/>
      <c r="E410" s="205"/>
      <c r="F410" s="205"/>
    </row>
    <row r="411" ht="13.5" customHeight="1">
      <c r="A411" s="182"/>
      <c r="B411" s="205"/>
      <c r="C411" s="205"/>
      <c r="D411" s="205"/>
      <c r="E411" s="205"/>
      <c r="F411" s="205"/>
    </row>
    <row r="412" ht="13.5" customHeight="1">
      <c r="A412" s="182"/>
      <c r="B412" s="205"/>
      <c r="C412" s="205"/>
      <c r="D412" s="205"/>
      <c r="E412" s="205"/>
      <c r="F412" s="205"/>
    </row>
    <row r="413" ht="13.5" customHeight="1">
      <c r="A413" s="182"/>
      <c r="B413" s="205"/>
      <c r="C413" s="205"/>
      <c r="D413" s="205"/>
      <c r="E413" s="205"/>
      <c r="F413" s="205"/>
    </row>
    <row r="414" ht="13.5" customHeight="1">
      <c r="A414" s="182"/>
      <c r="B414" s="205"/>
      <c r="C414" s="205"/>
      <c r="D414" s="205"/>
      <c r="E414" s="205"/>
      <c r="F414" s="205"/>
    </row>
    <row r="415" ht="13.5" customHeight="1">
      <c r="A415" s="182"/>
      <c r="B415" s="205"/>
      <c r="C415" s="205"/>
      <c r="D415" s="205"/>
      <c r="E415" s="205"/>
      <c r="F415" s="205"/>
    </row>
    <row r="416" ht="13.5" customHeight="1">
      <c r="A416" s="182"/>
      <c r="B416" s="205"/>
      <c r="C416" s="205"/>
      <c r="D416" s="205"/>
      <c r="E416" s="205"/>
      <c r="F416" s="205"/>
    </row>
    <row r="417" ht="13.5" customHeight="1">
      <c r="A417" s="182"/>
      <c r="B417" s="205"/>
      <c r="C417" s="205"/>
      <c r="D417" s="205"/>
      <c r="E417" s="205"/>
      <c r="F417" s="205"/>
    </row>
    <row r="418" ht="13.5" customHeight="1">
      <c r="A418" s="182"/>
      <c r="B418" s="205"/>
      <c r="C418" s="205"/>
      <c r="D418" s="205"/>
      <c r="E418" s="205"/>
      <c r="F418" s="205"/>
    </row>
    <row r="419" ht="13.5" customHeight="1">
      <c r="A419" s="182"/>
      <c r="B419" s="205"/>
      <c r="C419" s="205"/>
      <c r="D419" s="205"/>
      <c r="E419" s="205"/>
      <c r="F419" s="205"/>
    </row>
    <row r="420" ht="13.5" customHeight="1">
      <c r="A420" s="182"/>
      <c r="B420" s="205"/>
      <c r="C420" s="205"/>
      <c r="D420" s="205"/>
      <c r="E420" s="205"/>
      <c r="F420" s="205"/>
    </row>
    <row r="421" ht="13.5" customHeight="1">
      <c r="A421" s="182"/>
      <c r="B421" s="205"/>
      <c r="C421" s="205"/>
      <c r="D421" s="205"/>
      <c r="E421" s="205"/>
      <c r="F421" s="205"/>
    </row>
    <row r="422" ht="13.5" customHeight="1">
      <c r="A422" s="182"/>
      <c r="B422" s="205"/>
      <c r="C422" s="205"/>
      <c r="D422" s="205"/>
      <c r="E422" s="205"/>
      <c r="F422" s="205"/>
    </row>
    <row r="423" ht="13.5" customHeight="1">
      <c r="A423" s="182"/>
      <c r="B423" s="205"/>
      <c r="C423" s="205"/>
      <c r="D423" s="205"/>
      <c r="E423" s="205"/>
      <c r="F423" s="205"/>
    </row>
    <row r="424" ht="13.5" customHeight="1">
      <c r="A424" s="182"/>
      <c r="B424" s="205"/>
      <c r="C424" s="205"/>
      <c r="D424" s="205"/>
      <c r="E424" s="205"/>
      <c r="F424" s="205"/>
    </row>
    <row r="425" ht="13.5" customHeight="1">
      <c r="A425" s="182"/>
      <c r="B425" s="205"/>
      <c r="C425" s="205"/>
      <c r="D425" s="205"/>
      <c r="E425" s="205"/>
      <c r="F425" s="205"/>
    </row>
    <row r="426" ht="13.5" customHeight="1">
      <c r="A426" s="182"/>
      <c r="B426" s="205"/>
      <c r="C426" s="205"/>
      <c r="D426" s="205"/>
      <c r="E426" s="205"/>
      <c r="F426" s="205"/>
    </row>
    <row r="427" ht="13.5" customHeight="1">
      <c r="A427" s="182"/>
      <c r="B427" s="205"/>
      <c r="C427" s="205"/>
      <c r="D427" s="205"/>
      <c r="E427" s="205"/>
      <c r="F427" s="205"/>
    </row>
    <row r="428" ht="13.5" customHeight="1">
      <c r="A428" s="182"/>
      <c r="B428" s="205"/>
      <c r="C428" s="205"/>
      <c r="D428" s="205"/>
      <c r="E428" s="205"/>
      <c r="F428" s="205"/>
    </row>
    <row r="429" ht="13.5" customHeight="1">
      <c r="A429" s="182"/>
      <c r="B429" s="205"/>
      <c r="C429" s="205"/>
      <c r="D429" s="205"/>
      <c r="E429" s="205"/>
      <c r="F429" s="205"/>
    </row>
    <row r="430" ht="13.5" customHeight="1">
      <c r="A430" s="182"/>
      <c r="B430" s="205"/>
      <c r="C430" s="205"/>
      <c r="D430" s="205"/>
      <c r="E430" s="205"/>
      <c r="F430" s="205"/>
    </row>
    <row r="431" ht="13.5" customHeight="1">
      <c r="A431" s="182"/>
      <c r="B431" s="205"/>
      <c r="C431" s="205"/>
      <c r="D431" s="205"/>
      <c r="E431" s="205"/>
      <c r="F431" s="205"/>
    </row>
    <row r="432" ht="13.5" customHeight="1">
      <c r="A432" s="182"/>
      <c r="B432" s="205"/>
      <c r="C432" s="205"/>
      <c r="D432" s="205"/>
      <c r="E432" s="205"/>
      <c r="F432" s="205"/>
    </row>
    <row r="433" ht="13.5" customHeight="1">
      <c r="A433" s="182"/>
      <c r="B433" s="205"/>
      <c r="C433" s="205"/>
      <c r="D433" s="205"/>
      <c r="E433" s="205"/>
      <c r="F433" s="205"/>
    </row>
    <row r="434" ht="13.5" customHeight="1">
      <c r="A434" s="182"/>
      <c r="B434" s="205"/>
      <c r="C434" s="205"/>
      <c r="D434" s="205"/>
      <c r="E434" s="205"/>
      <c r="F434" s="205"/>
    </row>
    <row r="435" ht="13.5" customHeight="1">
      <c r="A435" s="182"/>
      <c r="B435" s="205"/>
      <c r="C435" s="205"/>
      <c r="D435" s="205"/>
      <c r="E435" s="205"/>
      <c r="F435" s="205"/>
    </row>
    <row r="436" ht="13.5" customHeight="1">
      <c r="A436" s="182"/>
      <c r="B436" s="205"/>
      <c r="C436" s="205"/>
      <c r="D436" s="205"/>
      <c r="E436" s="205"/>
      <c r="F436" s="205"/>
    </row>
    <row r="437" ht="13.5" customHeight="1">
      <c r="A437" s="182"/>
      <c r="B437" s="205"/>
      <c r="C437" s="205"/>
      <c r="D437" s="205"/>
      <c r="E437" s="205"/>
      <c r="F437" s="205"/>
    </row>
    <row r="438" ht="13.5" customHeight="1">
      <c r="A438" s="182"/>
      <c r="B438" s="205"/>
      <c r="C438" s="205"/>
      <c r="D438" s="205"/>
      <c r="E438" s="205"/>
      <c r="F438" s="205"/>
    </row>
    <row r="439" ht="13.5" customHeight="1">
      <c r="A439" s="182"/>
      <c r="B439" s="205"/>
      <c r="C439" s="205"/>
      <c r="D439" s="205"/>
      <c r="E439" s="205"/>
      <c r="F439" s="205"/>
    </row>
    <row r="440" ht="13.5" customHeight="1">
      <c r="A440" s="182"/>
      <c r="B440" s="205"/>
      <c r="C440" s="205"/>
      <c r="D440" s="205"/>
      <c r="E440" s="205"/>
      <c r="F440" s="205"/>
    </row>
    <row r="441" ht="13.5" customHeight="1">
      <c r="A441" s="182"/>
      <c r="B441" s="205"/>
      <c r="C441" s="205"/>
      <c r="D441" s="205"/>
      <c r="E441" s="205"/>
      <c r="F441" s="205"/>
    </row>
    <row r="442" ht="13.5" customHeight="1">
      <c r="A442" s="182"/>
      <c r="B442" s="205"/>
      <c r="C442" s="205"/>
      <c r="D442" s="205"/>
      <c r="E442" s="205"/>
      <c r="F442" s="205"/>
    </row>
    <row r="443" ht="13.5" customHeight="1">
      <c r="A443" s="182"/>
      <c r="B443" s="205"/>
      <c r="C443" s="205"/>
      <c r="D443" s="205"/>
      <c r="E443" s="205"/>
      <c r="F443" s="205"/>
    </row>
    <row r="444" ht="13.5" customHeight="1">
      <c r="A444" s="182"/>
      <c r="B444" s="205"/>
      <c r="C444" s="205"/>
      <c r="D444" s="205"/>
      <c r="E444" s="205"/>
      <c r="F444" s="205"/>
    </row>
    <row r="445" ht="13.5" customHeight="1">
      <c r="A445" s="182"/>
      <c r="B445" s="205"/>
      <c r="C445" s="205"/>
      <c r="D445" s="205"/>
      <c r="E445" s="205"/>
      <c r="F445" s="205"/>
    </row>
    <row r="446" ht="13.5" customHeight="1">
      <c r="A446" s="182"/>
      <c r="B446" s="205"/>
      <c r="C446" s="205"/>
      <c r="D446" s="205"/>
      <c r="E446" s="205"/>
      <c r="F446" s="205"/>
    </row>
    <row r="447" ht="13.5" customHeight="1">
      <c r="A447" s="182"/>
      <c r="B447" s="205"/>
      <c r="C447" s="205"/>
      <c r="D447" s="205"/>
      <c r="E447" s="205"/>
      <c r="F447" s="205"/>
    </row>
    <row r="448" ht="13.5" customHeight="1">
      <c r="A448" s="182"/>
      <c r="B448" s="205"/>
      <c r="C448" s="205"/>
      <c r="D448" s="205"/>
      <c r="E448" s="205"/>
      <c r="F448" s="205"/>
    </row>
    <row r="449" ht="13.5" customHeight="1">
      <c r="A449" s="182"/>
      <c r="B449" s="205"/>
      <c r="C449" s="205"/>
      <c r="D449" s="205"/>
      <c r="E449" s="205"/>
      <c r="F449" s="205"/>
    </row>
    <row r="450" ht="13.5" customHeight="1">
      <c r="A450" s="182"/>
      <c r="B450" s="205"/>
      <c r="C450" s="205"/>
      <c r="D450" s="205"/>
      <c r="E450" s="205"/>
      <c r="F450" s="205"/>
    </row>
    <row r="451" ht="13.5" customHeight="1">
      <c r="A451" s="182"/>
      <c r="B451" s="205"/>
      <c r="C451" s="205"/>
      <c r="D451" s="205"/>
      <c r="E451" s="205"/>
      <c r="F451" s="205"/>
    </row>
    <row r="452" ht="13.5" customHeight="1">
      <c r="A452" s="182"/>
      <c r="B452" s="205"/>
      <c r="C452" s="205"/>
      <c r="D452" s="205"/>
      <c r="E452" s="205"/>
      <c r="F452" s="205"/>
    </row>
    <row r="453" ht="13.5" customHeight="1">
      <c r="A453" s="182"/>
      <c r="B453" s="205"/>
      <c r="C453" s="205"/>
      <c r="D453" s="205"/>
      <c r="E453" s="205"/>
      <c r="F453" s="205"/>
    </row>
    <row r="454" ht="13.5" customHeight="1">
      <c r="A454" s="182"/>
      <c r="B454" s="205"/>
      <c r="C454" s="205"/>
      <c r="D454" s="205"/>
      <c r="E454" s="205"/>
      <c r="F454" s="205"/>
    </row>
    <row r="455" ht="13.5" customHeight="1">
      <c r="A455" s="182"/>
      <c r="B455" s="205"/>
      <c r="C455" s="205"/>
      <c r="D455" s="205"/>
      <c r="E455" s="205"/>
      <c r="F455" s="205"/>
    </row>
    <row r="456" ht="13.5" customHeight="1">
      <c r="A456" s="182"/>
      <c r="B456" s="205"/>
      <c r="C456" s="205"/>
      <c r="D456" s="205"/>
      <c r="E456" s="205"/>
      <c r="F456" s="205"/>
    </row>
    <row r="457" ht="13.5" customHeight="1">
      <c r="A457" s="182"/>
      <c r="B457" s="205"/>
      <c r="C457" s="205"/>
      <c r="D457" s="205"/>
      <c r="E457" s="205"/>
      <c r="F457" s="205"/>
    </row>
    <row r="458" ht="13.5" customHeight="1">
      <c r="A458" s="182"/>
      <c r="B458" s="205"/>
      <c r="C458" s="205"/>
      <c r="D458" s="205"/>
      <c r="E458" s="205"/>
      <c r="F458" s="205"/>
    </row>
    <row r="459" ht="13.5" customHeight="1">
      <c r="A459" s="182"/>
      <c r="B459" s="205"/>
      <c r="C459" s="205"/>
      <c r="D459" s="205"/>
      <c r="E459" s="205"/>
      <c r="F459" s="205"/>
    </row>
    <row r="460" ht="13.5" customHeight="1">
      <c r="A460" s="182"/>
      <c r="B460" s="205"/>
      <c r="C460" s="205"/>
      <c r="D460" s="205"/>
      <c r="E460" s="205"/>
      <c r="F460" s="205"/>
    </row>
    <row r="461" ht="13.5" customHeight="1">
      <c r="A461" s="182"/>
      <c r="B461" s="205"/>
      <c r="C461" s="205"/>
      <c r="D461" s="205"/>
      <c r="E461" s="205"/>
      <c r="F461" s="205"/>
    </row>
    <row r="462" ht="13.5" customHeight="1">
      <c r="A462" s="182"/>
      <c r="B462" s="205"/>
      <c r="C462" s="205"/>
      <c r="D462" s="205"/>
      <c r="E462" s="205"/>
      <c r="F462" s="205"/>
    </row>
    <row r="463" ht="13.5" customHeight="1">
      <c r="A463" s="182"/>
      <c r="B463" s="205"/>
      <c r="C463" s="205"/>
      <c r="D463" s="205"/>
      <c r="E463" s="205"/>
      <c r="F463" s="205"/>
    </row>
    <row r="464" ht="13.5" customHeight="1">
      <c r="A464" s="182"/>
      <c r="B464" s="205"/>
      <c r="C464" s="205"/>
      <c r="D464" s="205"/>
      <c r="E464" s="205"/>
      <c r="F464" s="205"/>
    </row>
    <row r="465" ht="13.5" customHeight="1">
      <c r="A465" s="182"/>
      <c r="B465" s="205"/>
      <c r="C465" s="205"/>
      <c r="D465" s="205"/>
      <c r="E465" s="205"/>
      <c r="F465" s="205"/>
    </row>
    <row r="466" ht="13.5" customHeight="1">
      <c r="A466" s="182"/>
      <c r="B466" s="205"/>
      <c r="C466" s="205"/>
      <c r="D466" s="205"/>
      <c r="E466" s="205"/>
      <c r="F466" s="205"/>
    </row>
    <row r="467" ht="13.5" customHeight="1">
      <c r="A467" s="182"/>
      <c r="B467" s="205"/>
      <c r="C467" s="205"/>
      <c r="D467" s="205"/>
      <c r="E467" s="205"/>
      <c r="F467" s="205"/>
    </row>
    <row r="468" ht="13.5" customHeight="1">
      <c r="A468" s="182"/>
      <c r="B468" s="205"/>
      <c r="C468" s="205"/>
      <c r="D468" s="205"/>
      <c r="E468" s="205"/>
      <c r="F468" s="205"/>
    </row>
    <row r="469" ht="13.5" customHeight="1">
      <c r="A469" s="182"/>
      <c r="B469" s="205"/>
      <c r="C469" s="205"/>
      <c r="D469" s="205"/>
      <c r="E469" s="205"/>
      <c r="F469" s="205"/>
    </row>
    <row r="470" ht="13.5" customHeight="1">
      <c r="A470" s="182"/>
      <c r="B470" s="205"/>
      <c r="C470" s="205"/>
      <c r="D470" s="205"/>
      <c r="E470" s="205"/>
      <c r="F470" s="205"/>
    </row>
    <row r="471" ht="13.5" customHeight="1">
      <c r="A471" s="182"/>
      <c r="B471" s="205"/>
      <c r="C471" s="205"/>
      <c r="D471" s="205"/>
      <c r="E471" s="205"/>
      <c r="F471" s="205"/>
    </row>
    <row r="472" ht="13.5" customHeight="1">
      <c r="A472" s="182"/>
      <c r="B472" s="205"/>
      <c r="C472" s="205"/>
      <c r="D472" s="205"/>
      <c r="E472" s="205"/>
      <c r="F472" s="205"/>
    </row>
    <row r="473" ht="13.5" customHeight="1">
      <c r="A473" s="182"/>
      <c r="B473" s="205"/>
      <c r="C473" s="205"/>
      <c r="D473" s="205"/>
      <c r="E473" s="205"/>
      <c r="F473" s="205"/>
    </row>
    <row r="474" ht="13.5" customHeight="1">
      <c r="A474" s="182"/>
      <c r="B474" s="205"/>
      <c r="C474" s="205"/>
      <c r="D474" s="205"/>
      <c r="E474" s="205"/>
      <c r="F474" s="205"/>
    </row>
    <row r="475" ht="13.5" customHeight="1">
      <c r="A475" s="182"/>
      <c r="B475" s="205"/>
      <c r="C475" s="205"/>
      <c r="D475" s="205"/>
      <c r="E475" s="205"/>
      <c r="F475" s="205"/>
    </row>
    <row r="476" ht="13.5" customHeight="1">
      <c r="A476" s="182"/>
      <c r="B476" s="205"/>
      <c r="C476" s="205"/>
      <c r="D476" s="205"/>
      <c r="E476" s="205"/>
      <c r="F476" s="205"/>
    </row>
    <row r="477" ht="13.5" customHeight="1">
      <c r="A477" s="182"/>
      <c r="B477" s="205"/>
      <c r="C477" s="205"/>
      <c r="D477" s="205"/>
      <c r="E477" s="205"/>
      <c r="F477" s="205"/>
    </row>
    <row r="478" ht="13.5" customHeight="1">
      <c r="A478" s="182"/>
      <c r="B478" s="205"/>
      <c r="C478" s="205"/>
      <c r="D478" s="205"/>
      <c r="E478" s="205"/>
      <c r="F478" s="205"/>
    </row>
    <row r="479" ht="13.5" customHeight="1">
      <c r="A479" s="182"/>
      <c r="B479" s="205"/>
      <c r="C479" s="205"/>
      <c r="D479" s="205"/>
      <c r="E479" s="205"/>
      <c r="F479" s="205"/>
    </row>
    <row r="480" ht="13.5" customHeight="1">
      <c r="A480" s="182"/>
      <c r="B480" s="205"/>
      <c r="C480" s="205"/>
      <c r="D480" s="205"/>
      <c r="E480" s="205"/>
      <c r="F480" s="205"/>
    </row>
    <row r="481" ht="13.5" customHeight="1">
      <c r="A481" s="182"/>
      <c r="B481" s="205"/>
      <c r="C481" s="205"/>
      <c r="D481" s="205"/>
      <c r="E481" s="205"/>
      <c r="F481" s="205"/>
    </row>
    <row r="482" ht="13.5" customHeight="1">
      <c r="A482" s="182"/>
      <c r="B482" s="205"/>
      <c r="C482" s="205"/>
      <c r="D482" s="205"/>
      <c r="E482" s="205"/>
      <c r="F482" s="205"/>
    </row>
    <row r="483" ht="13.5" customHeight="1">
      <c r="A483" s="182"/>
      <c r="B483" s="205"/>
      <c r="C483" s="205"/>
      <c r="D483" s="205"/>
      <c r="E483" s="205"/>
      <c r="F483" s="205"/>
    </row>
    <row r="484" ht="13.5" customHeight="1">
      <c r="A484" s="182"/>
      <c r="B484" s="205"/>
      <c r="C484" s="205"/>
      <c r="D484" s="205"/>
      <c r="E484" s="205"/>
      <c r="F484" s="205"/>
    </row>
    <row r="485" ht="13.5" customHeight="1">
      <c r="A485" s="182"/>
      <c r="B485" s="205"/>
      <c r="C485" s="205"/>
      <c r="D485" s="205"/>
      <c r="E485" s="205"/>
      <c r="F485" s="205"/>
    </row>
    <row r="486" ht="13.5" customHeight="1">
      <c r="A486" s="182"/>
      <c r="B486" s="205"/>
      <c r="C486" s="205"/>
      <c r="D486" s="205"/>
      <c r="E486" s="205"/>
      <c r="F486" s="205"/>
    </row>
    <row r="487" ht="13.5" customHeight="1">
      <c r="A487" s="182"/>
      <c r="B487" s="205"/>
      <c r="C487" s="205"/>
      <c r="D487" s="205"/>
      <c r="E487" s="205"/>
      <c r="F487" s="205"/>
    </row>
    <row r="488" ht="13.5" customHeight="1">
      <c r="A488" s="182"/>
      <c r="B488" s="205"/>
      <c r="C488" s="205"/>
      <c r="D488" s="205"/>
      <c r="E488" s="205"/>
      <c r="F488" s="205"/>
    </row>
    <row r="489" ht="13.5" customHeight="1">
      <c r="A489" s="182"/>
      <c r="B489" s="205"/>
      <c r="C489" s="205"/>
      <c r="D489" s="205"/>
      <c r="E489" s="205"/>
      <c r="F489" s="205"/>
    </row>
    <row r="490" ht="13.5" customHeight="1">
      <c r="A490" s="182"/>
      <c r="B490" s="205"/>
      <c r="C490" s="205"/>
      <c r="D490" s="205"/>
      <c r="E490" s="205"/>
      <c r="F490" s="205"/>
    </row>
    <row r="491" ht="13.5" customHeight="1">
      <c r="A491" s="182"/>
      <c r="B491" s="205"/>
      <c r="C491" s="205"/>
      <c r="D491" s="205"/>
      <c r="E491" s="205"/>
      <c r="F491" s="205"/>
    </row>
    <row r="492" ht="13.5" customHeight="1">
      <c r="A492" s="182"/>
      <c r="B492" s="205"/>
      <c r="C492" s="205"/>
      <c r="D492" s="205"/>
      <c r="E492" s="205"/>
      <c r="F492" s="205"/>
    </row>
    <row r="493" ht="13.5" customHeight="1">
      <c r="A493" s="182"/>
      <c r="B493" s="205"/>
      <c r="C493" s="205"/>
      <c r="D493" s="205"/>
      <c r="E493" s="205"/>
      <c r="F493" s="205"/>
    </row>
    <row r="494" ht="13.5" customHeight="1">
      <c r="A494" s="182"/>
      <c r="B494" s="205"/>
      <c r="C494" s="205"/>
      <c r="D494" s="205"/>
      <c r="E494" s="205"/>
      <c r="F494" s="205"/>
    </row>
    <row r="495" ht="13.5" customHeight="1">
      <c r="A495" s="182"/>
      <c r="B495" s="205"/>
      <c r="C495" s="205"/>
      <c r="D495" s="205"/>
      <c r="E495" s="205"/>
      <c r="F495" s="205"/>
    </row>
    <row r="496" ht="13.5" customHeight="1">
      <c r="A496" s="182"/>
      <c r="B496" s="205"/>
      <c r="C496" s="205"/>
      <c r="D496" s="205"/>
      <c r="E496" s="205"/>
      <c r="F496" s="205"/>
    </row>
    <row r="497" ht="13.5" customHeight="1">
      <c r="A497" s="182"/>
      <c r="B497" s="205"/>
      <c r="C497" s="205"/>
      <c r="D497" s="205"/>
      <c r="E497" s="205"/>
      <c r="F497" s="205"/>
    </row>
    <row r="498" ht="13.5" customHeight="1">
      <c r="A498" s="182"/>
      <c r="B498" s="205"/>
      <c r="C498" s="205"/>
      <c r="D498" s="205"/>
      <c r="E498" s="205"/>
      <c r="F498" s="205"/>
    </row>
    <row r="499" ht="13.5" customHeight="1">
      <c r="A499" s="182"/>
      <c r="B499" s="205"/>
      <c r="C499" s="205"/>
      <c r="D499" s="205"/>
      <c r="E499" s="205"/>
      <c r="F499" s="205"/>
    </row>
    <row r="500" ht="13.5" customHeight="1">
      <c r="A500" s="182"/>
      <c r="B500" s="205"/>
      <c r="C500" s="205"/>
      <c r="D500" s="205"/>
      <c r="E500" s="205"/>
      <c r="F500" s="205"/>
    </row>
    <row r="501" ht="13.5" customHeight="1">
      <c r="A501" s="182"/>
      <c r="B501" s="205"/>
      <c r="C501" s="205"/>
      <c r="D501" s="205"/>
      <c r="E501" s="205"/>
      <c r="F501" s="205"/>
    </row>
    <row r="502" ht="13.5" customHeight="1">
      <c r="A502" s="182"/>
      <c r="B502" s="205"/>
      <c r="C502" s="205"/>
      <c r="D502" s="205"/>
      <c r="E502" s="205"/>
      <c r="F502" s="205"/>
    </row>
    <row r="503" ht="13.5" customHeight="1">
      <c r="A503" s="182"/>
      <c r="B503" s="205"/>
      <c r="C503" s="205"/>
      <c r="D503" s="205"/>
      <c r="E503" s="205"/>
      <c r="F503" s="205"/>
    </row>
    <row r="504" ht="13.5" customHeight="1">
      <c r="A504" s="182"/>
      <c r="B504" s="205"/>
      <c r="C504" s="205"/>
      <c r="D504" s="205"/>
      <c r="E504" s="205"/>
      <c r="F504" s="205"/>
    </row>
    <row r="505" ht="13.5" customHeight="1">
      <c r="A505" s="182"/>
      <c r="B505" s="205"/>
      <c r="C505" s="205"/>
      <c r="D505" s="205"/>
      <c r="E505" s="205"/>
      <c r="F505" s="205"/>
    </row>
    <row r="506" ht="13.5" customHeight="1">
      <c r="A506" s="182"/>
      <c r="B506" s="205"/>
      <c r="C506" s="205"/>
      <c r="D506" s="205"/>
      <c r="E506" s="205"/>
      <c r="F506" s="205"/>
    </row>
    <row r="507" ht="13.5" customHeight="1">
      <c r="A507" s="182"/>
      <c r="B507" s="205"/>
      <c r="C507" s="205"/>
      <c r="D507" s="205"/>
      <c r="E507" s="205"/>
      <c r="F507" s="205"/>
    </row>
    <row r="508" ht="13.5" customHeight="1">
      <c r="A508" s="182"/>
      <c r="B508" s="205"/>
      <c r="C508" s="205"/>
      <c r="D508" s="205"/>
      <c r="E508" s="205"/>
      <c r="F508" s="205"/>
    </row>
    <row r="509" ht="13.5" customHeight="1">
      <c r="A509" s="182"/>
      <c r="B509" s="205"/>
      <c r="C509" s="205"/>
      <c r="D509" s="205"/>
      <c r="E509" s="205"/>
      <c r="F509" s="205"/>
    </row>
    <row r="510" ht="13.5" customHeight="1">
      <c r="A510" s="182"/>
      <c r="B510" s="205"/>
      <c r="C510" s="205"/>
      <c r="D510" s="205"/>
      <c r="E510" s="205"/>
      <c r="F510" s="205"/>
    </row>
    <row r="511" ht="13.5" customHeight="1">
      <c r="A511" s="182"/>
      <c r="B511" s="205"/>
      <c r="C511" s="205"/>
      <c r="D511" s="205"/>
      <c r="E511" s="205"/>
      <c r="F511" s="205"/>
    </row>
    <row r="512" ht="13.5" customHeight="1">
      <c r="A512" s="182"/>
      <c r="B512" s="205"/>
      <c r="C512" s="205"/>
      <c r="D512" s="205"/>
      <c r="E512" s="205"/>
      <c r="F512" s="205"/>
    </row>
    <row r="513" ht="13.5" customHeight="1">
      <c r="A513" s="182"/>
      <c r="B513" s="205"/>
      <c r="C513" s="205"/>
      <c r="D513" s="205"/>
      <c r="E513" s="205"/>
      <c r="F513" s="205"/>
    </row>
    <row r="514" ht="13.5" customHeight="1">
      <c r="A514" s="182"/>
      <c r="B514" s="205"/>
      <c r="C514" s="205"/>
      <c r="D514" s="205"/>
      <c r="E514" s="205"/>
      <c r="F514" s="205"/>
    </row>
    <row r="515" ht="13.5" customHeight="1">
      <c r="A515" s="182"/>
      <c r="B515" s="205"/>
      <c r="C515" s="205"/>
      <c r="D515" s="205"/>
      <c r="E515" s="205"/>
      <c r="F515" s="205"/>
    </row>
    <row r="516" ht="13.5" customHeight="1">
      <c r="A516" s="182"/>
      <c r="B516" s="205"/>
      <c r="C516" s="205"/>
      <c r="D516" s="205"/>
      <c r="E516" s="205"/>
      <c r="F516" s="205"/>
    </row>
    <row r="517" ht="13.5" customHeight="1">
      <c r="A517" s="182"/>
      <c r="B517" s="205"/>
      <c r="C517" s="205"/>
      <c r="D517" s="205"/>
      <c r="E517" s="205"/>
      <c r="F517" s="205"/>
    </row>
    <row r="518" ht="13.5" customHeight="1">
      <c r="A518" s="182"/>
      <c r="B518" s="205"/>
      <c r="C518" s="205"/>
      <c r="D518" s="205"/>
      <c r="E518" s="205"/>
      <c r="F518" s="205"/>
    </row>
    <row r="519" ht="13.5" customHeight="1">
      <c r="A519" s="182"/>
      <c r="B519" s="205"/>
      <c r="C519" s="205"/>
      <c r="D519" s="205"/>
      <c r="E519" s="205"/>
      <c r="F519" s="205"/>
    </row>
    <row r="520" ht="13.5" customHeight="1">
      <c r="A520" s="182"/>
      <c r="B520" s="205"/>
      <c r="C520" s="205"/>
      <c r="D520" s="205"/>
      <c r="E520" s="205"/>
      <c r="F520" s="205"/>
    </row>
    <row r="521" ht="13.5" customHeight="1">
      <c r="A521" s="182"/>
      <c r="B521" s="205"/>
      <c r="C521" s="205"/>
      <c r="D521" s="205"/>
      <c r="E521" s="205"/>
      <c r="F521" s="205"/>
    </row>
    <row r="522" ht="13.5" customHeight="1">
      <c r="A522" s="182"/>
      <c r="B522" s="205"/>
      <c r="C522" s="205"/>
      <c r="D522" s="205"/>
      <c r="E522" s="205"/>
      <c r="F522" s="205"/>
    </row>
    <row r="523" ht="13.5" customHeight="1">
      <c r="A523" s="182"/>
      <c r="B523" s="205"/>
      <c r="C523" s="205"/>
      <c r="D523" s="205"/>
      <c r="E523" s="205"/>
      <c r="F523" s="205"/>
    </row>
    <row r="524" ht="13.5" customHeight="1">
      <c r="A524" s="182"/>
      <c r="B524" s="205"/>
      <c r="C524" s="205"/>
      <c r="D524" s="205"/>
      <c r="E524" s="205"/>
      <c r="F524" s="205"/>
    </row>
    <row r="525" ht="13.5" customHeight="1">
      <c r="A525" s="182"/>
      <c r="B525" s="205"/>
      <c r="C525" s="205"/>
      <c r="D525" s="205"/>
      <c r="E525" s="205"/>
      <c r="F525" s="205"/>
    </row>
    <row r="526" ht="13.5" customHeight="1">
      <c r="A526" s="182"/>
      <c r="B526" s="205"/>
      <c r="C526" s="205"/>
      <c r="D526" s="205"/>
      <c r="E526" s="205"/>
      <c r="F526" s="205"/>
    </row>
    <row r="527" ht="13.5" customHeight="1">
      <c r="A527" s="182"/>
      <c r="B527" s="205"/>
      <c r="C527" s="205"/>
      <c r="D527" s="205"/>
      <c r="E527" s="205"/>
      <c r="F527" s="205"/>
    </row>
    <row r="528" ht="13.5" customHeight="1">
      <c r="A528" s="182"/>
      <c r="B528" s="205"/>
      <c r="C528" s="205"/>
      <c r="D528" s="205"/>
      <c r="E528" s="205"/>
      <c r="F528" s="205"/>
    </row>
    <row r="529" ht="13.5" customHeight="1">
      <c r="A529" s="182"/>
      <c r="B529" s="205"/>
      <c r="C529" s="205"/>
      <c r="D529" s="205"/>
      <c r="E529" s="205"/>
      <c r="F529" s="205"/>
    </row>
    <row r="530" ht="13.5" customHeight="1">
      <c r="A530" s="182"/>
      <c r="B530" s="205"/>
      <c r="C530" s="205"/>
      <c r="D530" s="205"/>
      <c r="E530" s="205"/>
      <c r="F530" s="205"/>
    </row>
    <row r="531" ht="13.5" customHeight="1">
      <c r="A531" s="182"/>
      <c r="B531" s="205"/>
      <c r="C531" s="205"/>
      <c r="D531" s="205"/>
      <c r="E531" s="205"/>
      <c r="F531" s="205"/>
    </row>
    <row r="532" ht="13.5" customHeight="1">
      <c r="A532" s="182"/>
      <c r="B532" s="205"/>
      <c r="C532" s="205"/>
      <c r="D532" s="205"/>
      <c r="E532" s="205"/>
      <c r="F532" s="205"/>
    </row>
    <row r="533" ht="13.5" customHeight="1">
      <c r="A533" s="182"/>
      <c r="B533" s="205"/>
      <c r="C533" s="205"/>
      <c r="D533" s="205"/>
      <c r="E533" s="205"/>
      <c r="F533" s="205"/>
    </row>
    <row r="534" ht="13.5" customHeight="1">
      <c r="A534" s="182"/>
      <c r="B534" s="205"/>
      <c r="C534" s="205"/>
      <c r="D534" s="205"/>
      <c r="E534" s="205"/>
      <c r="F534" s="205"/>
    </row>
    <row r="535" ht="13.5" customHeight="1">
      <c r="A535" s="182"/>
      <c r="B535" s="205"/>
      <c r="C535" s="205"/>
      <c r="D535" s="205"/>
      <c r="E535" s="205"/>
      <c r="F535" s="205"/>
    </row>
    <row r="536" ht="13.5" customHeight="1">
      <c r="A536" s="182"/>
      <c r="B536" s="205"/>
      <c r="C536" s="205"/>
      <c r="D536" s="205"/>
      <c r="E536" s="205"/>
      <c r="F536" s="205"/>
    </row>
    <row r="537" ht="13.5" customHeight="1">
      <c r="A537" s="182"/>
      <c r="B537" s="205"/>
      <c r="C537" s="205"/>
      <c r="D537" s="205"/>
      <c r="E537" s="205"/>
      <c r="F537" s="205"/>
    </row>
    <row r="538" ht="13.5" customHeight="1">
      <c r="A538" s="182"/>
      <c r="B538" s="205"/>
      <c r="C538" s="205"/>
      <c r="D538" s="205"/>
      <c r="E538" s="205"/>
      <c r="F538" s="205"/>
    </row>
    <row r="539" ht="13.5" customHeight="1">
      <c r="A539" s="182"/>
      <c r="B539" s="205"/>
      <c r="C539" s="205"/>
      <c r="D539" s="205"/>
      <c r="E539" s="205"/>
      <c r="F539" s="205"/>
    </row>
    <row r="540" ht="13.5" customHeight="1">
      <c r="A540" s="182"/>
      <c r="B540" s="205"/>
      <c r="C540" s="205"/>
      <c r="D540" s="205"/>
      <c r="E540" s="205"/>
      <c r="F540" s="205"/>
    </row>
    <row r="541" ht="13.5" customHeight="1">
      <c r="A541" s="182"/>
      <c r="B541" s="205"/>
      <c r="C541" s="205"/>
      <c r="D541" s="205"/>
      <c r="E541" s="205"/>
      <c r="F541" s="205"/>
    </row>
    <row r="542" ht="13.5" customHeight="1">
      <c r="A542" s="182"/>
      <c r="B542" s="205"/>
      <c r="C542" s="205"/>
      <c r="D542" s="205"/>
      <c r="E542" s="205"/>
      <c r="F542" s="205"/>
    </row>
    <row r="543" ht="13.5" customHeight="1">
      <c r="A543" s="182"/>
      <c r="B543" s="205"/>
      <c r="C543" s="205"/>
      <c r="D543" s="205"/>
      <c r="E543" s="205"/>
      <c r="F543" s="205"/>
    </row>
    <row r="544" ht="13.5" customHeight="1">
      <c r="A544" s="182"/>
      <c r="B544" s="205"/>
      <c r="C544" s="205"/>
      <c r="D544" s="205"/>
      <c r="E544" s="205"/>
      <c r="F544" s="205"/>
    </row>
    <row r="545" ht="13.5" customHeight="1">
      <c r="A545" s="182"/>
      <c r="B545" s="205"/>
      <c r="C545" s="205"/>
      <c r="D545" s="205"/>
      <c r="E545" s="205"/>
      <c r="F545" s="205"/>
    </row>
    <row r="546" ht="13.5" customHeight="1">
      <c r="A546" s="182"/>
      <c r="B546" s="205"/>
      <c r="C546" s="205"/>
      <c r="D546" s="205"/>
      <c r="E546" s="205"/>
      <c r="F546" s="205"/>
    </row>
    <row r="547" ht="13.5" customHeight="1">
      <c r="A547" s="182"/>
      <c r="B547" s="205"/>
      <c r="C547" s="205"/>
      <c r="D547" s="205"/>
      <c r="E547" s="205"/>
      <c r="F547" s="205"/>
    </row>
    <row r="548" ht="13.5" customHeight="1">
      <c r="A548" s="182"/>
      <c r="B548" s="205"/>
      <c r="C548" s="205"/>
      <c r="D548" s="205"/>
      <c r="E548" s="205"/>
      <c r="F548" s="205"/>
    </row>
    <row r="549" ht="13.5" customHeight="1">
      <c r="A549" s="182"/>
      <c r="B549" s="205"/>
      <c r="C549" s="205"/>
      <c r="D549" s="205"/>
      <c r="E549" s="205"/>
      <c r="F549" s="205"/>
    </row>
    <row r="550" ht="13.5" customHeight="1">
      <c r="A550" s="182"/>
      <c r="B550" s="205"/>
      <c r="C550" s="205"/>
      <c r="D550" s="205"/>
      <c r="E550" s="205"/>
      <c r="F550" s="205"/>
    </row>
    <row r="551" ht="13.5" customHeight="1">
      <c r="A551" s="182"/>
      <c r="B551" s="205"/>
      <c r="C551" s="205"/>
      <c r="D551" s="205"/>
      <c r="E551" s="205"/>
      <c r="F551" s="205"/>
    </row>
    <row r="552" ht="13.5" customHeight="1">
      <c r="A552" s="182"/>
      <c r="B552" s="205"/>
      <c r="C552" s="205"/>
      <c r="D552" s="205"/>
      <c r="E552" s="205"/>
      <c r="F552" s="205"/>
    </row>
    <row r="553" ht="13.5" customHeight="1">
      <c r="A553" s="182"/>
      <c r="B553" s="205"/>
      <c r="C553" s="205"/>
      <c r="D553" s="205"/>
      <c r="E553" s="205"/>
      <c r="F553" s="205"/>
    </row>
    <row r="554" ht="13.5" customHeight="1">
      <c r="A554" s="182"/>
      <c r="B554" s="205"/>
      <c r="C554" s="205"/>
      <c r="D554" s="205"/>
      <c r="E554" s="205"/>
      <c r="F554" s="205"/>
    </row>
    <row r="555" ht="13.5" customHeight="1">
      <c r="A555" s="182"/>
      <c r="B555" s="205"/>
      <c r="C555" s="205"/>
      <c r="D555" s="205"/>
      <c r="E555" s="205"/>
      <c r="F555" s="205"/>
    </row>
    <row r="556" ht="13.5" customHeight="1">
      <c r="A556" s="182"/>
      <c r="B556" s="205"/>
      <c r="C556" s="205"/>
      <c r="D556" s="205"/>
      <c r="E556" s="205"/>
      <c r="F556" s="205"/>
    </row>
    <row r="557" ht="13.5" customHeight="1">
      <c r="A557" s="182"/>
      <c r="B557" s="205"/>
      <c r="C557" s="205"/>
      <c r="D557" s="205"/>
      <c r="E557" s="205"/>
      <c r="F557" s="205"/>
    </row>
    <row r="558" ht="13.5" customHeight="1">
      <c r="A558" s="182"/>
      <c r="B558" s="205"/>
      <c r="C558" s="205"/>
      <c r="D558" s="205"/>
      <c r="E558" s="205"/>
      <c r="F558" s="205"/>
    </row>
    <row r="559" ht="13.5" customHeight="1">
      <c r="A559" s="182"/>
      <c r="B559" s="205"/>
      <c r="C559" s="205"/>
      <c r="D559" s="205"/>
      <c r="E559" s="205"/>
      <c r="F559" s="205"/>
    </row>
    <row r="560" ht="13.5" customHeight="1">
      <c r="A560" s="182"/>
      <c r="B560" s="205"/>
      <c r="C560" s="205"/>
      <c r="D560" s="205"/>
      <c r="E560" s="205"/>
      <c r="F560" s="205"/>
    </row>
    <row r="561" ht="13.5" customHeight="1">
      <c r="A561" s="182"/>
      <c r="B561" s="205"/>
      <c r="C561" s="205"/>
      <c r="D561" s="205"/>
      <c r="E561" s="205"/>
      <c r="F561" s="205"/>
    </row>
    <row r="562" ht="13.5" customHeight="1">
      <c r="A562" s="182"/>
      <c r="B562" s="205"/>
      <c r="C562" s="205"/>
      <c r="D562" s="205"/>
      <c r="E562" s="205"/>
      <c r="F562" s="205"/>
    </row>
    <row r="563" ht="13.5" customHeight="1">
      <c r="A563" s="182"/>
      <c r="B563" s="205"/>
      <c r="C563" s="205"/>
      <c r="D563" s="205"/>
      <c r="E563" s="205"/>
      <c r="F563" s="205"/>
    </row>
    <row r="564" ht="13.5" customHeight="1">
      <c r="A564" s="182"/>
      <c r="B564" s="205"/>
      <c r="C564" s="205"/>
      <c r="D564" s="205"/>
      <c r="E564" s="205"/>
      <c r="F564" s="205"/>
    </row>
    <row r="565" ht="13.5" customHeight="1">
      <c r="A565" s="182"/>
      <c r="B565" s="205"/>
      <c r="C565" s="205"/>
      <c r="D565" s="205"/>
      <c r="E565" s="205"/>
      <c r="F565" s="205"/>
    </row>
    <row r="566" ht="13.5" customHeight="1">
      <c r="A566" s="182"/>
      <c r="B566" s="205"/>
      <c r="C566" s="205"/>
      <c r="D566" s="205"/>
      <c r="E566" s="205"/>
      <c r="F566" s="205"/>
    </row>
    <row r="567" ht="13.5" customHeight="1">
      <c r="A567" s="182"/>
      <c r="B567" s="205"/>
      <c r="C567" s="205"/>
      <c r="D567" s="205"/>
      <c r="E567" s="205"/>
      <c r="F567" s="205"/>
    </row>
    <row r="568" ht="13.5" customHeight="1">
      <c r="A568" s="182"/>
      <c r="B568" s="205"/>
      <c r="C568" s="205"/>
      <c r="D568" s="205"/>
      <c r="E568" s="205"/>
      <c r="F568" s="205"/>
    </row>
    <row r="569" ht="13.5" customHeight="1">
      <c r="A569" s="182"/>
      <c r="B569" s="205"/>
      <c r="C569" s="205"/>
      <c r="D569" s="205"/>
      <c r="E569" s="205"/>
      <c r="F569" s="205"/>
    </row>
    <row r="570" ht="13.5" customHeight="1">
      <c r="A570" s="182"/>
      <c r="B570" s="205"/>
      <c r="C570" s="205"/>
      <c r="D570" s="205"/>
      <c r="E570" s="205"/>
      <c r="F570" s="205"/>
    </row>
    <row r="571" ht="13.5" customHeight="1">
      <c r="A571" s="182"/>
      <c r="B571" s="205"/>
      <c r="C571" s="205"/>
      <c r="D571" s="205"/>
      <c r="E571" s="205"/>
      <c r="F571" s="205"/>
    </row>
    <row r="572" ht="13.5" customHeight="1">
      <c r="A572" s="182"/>
      <c r="B572" s="205"/>
      <c r="C572" s="205"/>
      <c r="D572" s="205"/>
      <c r="E572" s="205"/>
      <c r="F572" s="205"/>
    </row>
    <row r="573" ht="13.5" customHeight="1">
      <c r="A573" s="182"/>
      <c r="B573" s="205"/>
      <c r="C573" s="205"/>
      <c r="D573" s="205"/>
      <c r="E573" s="205"/>
      <c r="F573" s="205"/>
    </row>
    <row r="574" ht="13.5" customHeight="1">
      <c r="A574" s="182"/>
      <c r="B574" s="205"/>
      <c r="C574" s="205"/>
      <c r="D574" s="205"/>
      <c r="E574" s="205"/>
      <c r="F574" s="205"/>
    </row>
    <row r="575" ht="13.5" customHeight="1">
      <c r="A575" s="182"/>
      <c r="B575" s="205"/>
      <c r="C575" s="205"/>
      <c r="D575" s="205"/>
      <c r="E575" s="205"/>
      <c r="F575" s="205"/>
    </row>
    <row r="576" ht="13.5" customHeight="1">
      <c r="A576" s="182"/>
      <c r="B576" s="205"/>
      <c r="C576" s="205"/>
      <c r="D576" s="205"/>
      <c r="E576" s="205"/>
      <c r="F576" s="205"/>
    </row>
    <row r="577" ht="13.5" customHeight="1">
      <c r="A577" s="182"/>
      <c r="B577" s="205"/>
      <c r="C577" s="205"/>
      <c r="D577" s="205"/>
      <c r="E577" s="205"/>
      <c r="F577" s="205"/>
    </row>
    <row r="578" ht="13.5" customHeight="1">
      <c r="A578" s="182"/>
      <c r="B578" s="205"/>
      <c r="C578" s="205"/>
      <c r="D578" s="205"/>
      <c r="E578" s="205"/>
      <c r="F578" s="205"/>
    </row>
    <row r="579" ht="13.5" customHeight="1">
      <c r="A579" s="182"/>
      <c r="B579" s="205"/>
      <c r="C579" s="205"/>
      <c r="D579" s="205"/>
      <c r="E579" s="205"/>
      <c r="F579" s="205"/>
    </row>
    <row r="580" ht="13.5" customHeight="1">
      <c r="A580" s="182"/>
      <c r="B580" s="205"/>
      <c r="C580" s="205"/>
      <c r="D580" s="205"/>
      <c r="E580" s="205"/>
      <c r="F580" s="205"/>
    </row>
    <row r="581" ht="13.5" customHeight="1">
      <c r="A581" s="182"/>
      <c r="B581" s="205"/>
      <c r="C581" s="205"/>
      <c r="D581" s="205"/>
      <c r="E581" s="205"/>
      <c r="F581" s="205"/>
    </row>
    <row r="582" ht="13.5" customHeight="1">
      <c r="A582" s="182"/>
      <c r="B582" s="205"/>
      <c r="C582" s="205"/>
      <c r="D582" s="205"/>
      <c r="E582" s="205"/>
      <c r="F582" s="205"/>
    </row>
    <row r="583" ht="13.5" customHeight="1">
      <c r="A583" s="182"/>
      <c r="B583" s="205"/>
      <c r="C583" s="205"/>
      <c r="D583" s="205"/>
      <c r="E583" s="205"/>
      <c r="F583" s="205"/>
    </row>
    <row r="584" ht="13.5" customHeight="1">
      <c r="A584" s="182"/>
      <c r="B584" s="205"/>
      <c r="C584" s="205"/>
      <c r="D584" s="205"/>
      <c r="E584" s="205"/>
      <c r="F584" s="205"/>
    </row>
    <row r="585" ht="13.5" customHeight="1">
      <c r="A585" s="182"/>
      <c r="B585" s="205"/>
      <c r="C585" s="205"/>
      <c r="D585" s="205"/>
      <c r="E585" s="205"/>
      <c r="F585" s="205"/>
    </row>
    <row r="586" ht="13.5" customHeight="1">
      <c r="A586" s="182"/>
      <c r="B586" s="205"/>
      <c r="C586" s="205"/>
      <c r="D586" s="205"/>
      <c r="E586" s="205"/>
      <c r="F586" s="205"/>
    </row>
    <row r="587" ht="13.5" customHeight="1">
      <c r="A587" s="182"/>
      <c r="B587" s="205"/>
      <c r="C587" s="205"/>
      <c r="D587" s="205"/>
      <c r="E587" s="205"/>
      <c r="F587" s="205"/>
    </row>
    <row r="588" ht="13.5" customHeight="1">
      <c r="A588" s="182"/>
      <c r="B588" s="205"/>
      <c r="C588" s="205"/>
      <c r="D588" s="205"/>
      <c r="E588" s="205"/>
      <c r="F588" s="205"/>
    </row>
    <row r="589" ht="13.5" customHeight="1">
      <c r="A589" s="182"/>
      <c r="B589" s="205"/>
      <c r="C589" s="205"/>
      <c r="D589" s="205"/>
      <c r="E589" s="205"/>
      <c r="F589" s="205"/>
    </row>
    <row r="590" ht="13.5" customHeight="1">
      <c r="A590" s="182"/>
      <c r="B590" s="205"/>
      <c r="C590" s="205"/>
      <c r="D590" s="205"/>
      <c r="E590" s="205"/>
      <c r="F590" s="205"/>
    </row>
    <row r="591" ht="13.5" customHeight="1">
      <c r="A591" s="182"/>
      <c r="B591" s="205"/>
      <c r="C591" s="205"/>
      <c r="D591" s="205"/>
      <c r="E591" s="205"/>
      <c r="F591" s="205"/>
    </row>
    <row r="592" ht="13.5" customHeight="1">
      <c r="A592" s="182"/>
      <c r="B592" s="205"/>
      <c r="C592" s="205"/>
      <c r="D592" s="205"/>
      <c r="E592" s="205"/>
      <c r="F592" s="205"/>
    </row>
    <row r="593" ht="13.5" customHeight="1">
      <c r="A593" s="182"/>
      <c r="B593" s="205"/>
      <c r="C593" s="205"/>
      <c r="D593" s="205"/>
      <c r="E593" s="205"/>
      <c r="F593" s="205"/>
    </row>
    <row r="594" ht="13.5" customHeight="1">
      <c r="A594" s="182"/>
      <c r="B594" s="205"/>
      <c r="C594" s="205"/>
      <c r="D594" s="205"/>
      <c r="E594" s="205"/>
      <c r="F594" s="205"/>
    </row>
    <row r="595" ht="13.5" customHeight="1">
      <c r="A595" s="182"/>
      <c r="B595" s="205"/>
      <c r="C595" s="205"/>
      <c r="D595" s="205"/>
      <c r="E595" s="205"/>
      <c r="F595" s="205"/>
    </row>
    <row r="596" ht="13.5" customHeight="1">
      <c r="A596" s="182"/>
      <c r="B596" s="205"/>
      <c r="C596" s="205"/>
      <c r="D596" s="205"/>
      <c r="E596" s="205"/>
      <c r="F596" s="205"/>
    </row>
    <row r="597" ht="13.5" customHeight="1">
      <c r="A597" s="182"/>
      <c r="B597" s="205"/>
      <c r="C597" s="205"/>
      <c r="D597" s="205"/>
      <c r="E597" s="205"/>
      <c r="F597" s="205"/>
    </row>
    <row r="598" ht="13.5" customHeight="1">
      <c r="A598" s="182"/>
      <c r="B598" s="205"/>
      <c r="C598" s="205"/>
      <c r="D598" s="205"/>
      <c r="E598" s="205"/>
      <c r="F598" s="205"/>
    </row>
    <row r="599" ht="13.5" customHeight="1">
      <c r="A599" s="182"/>
      <c r="B599" s="205"/>
      <c r="C599" s="205"/>
      <c r="D599" s="205"/>
      <c r="E599" s="205"/>
      <c r="F599" s="205"/>
    </row>
    <row r="600" ht="13.5" customHeight="1">
      <c r="A600" s="182"/>
      <c r="B600" s="205"/>
      <c r="C600" s="205"/>
      <c r="D600" s="205"/>
      <c r="E600" s="205"/>
      <c r="F600" s="205"/>
    </row>
    <row r="601" ht="13.5" customHeight="1">
      <c r="A601" s="182"/>
      <c r="B601" s="205"/>
      <c r="C601" s="205"/>
      <c r="D601" s="205"/>
      <c r="E601" s="205"/>
      <c r="F601" s="205"/>
    </row>
    <row r="602" ht="13.5" customHeight="1">
      <c r="A602" s="182"/>
      <c r="B602" s="205"/>
      <c r="C602" s="205"/>
      <c r="D602" s="205"/>
      <c r="E602" s="205"/>
      <c r="F602" s="205"/>
    </row>
    <row r="603" ht="13.5" customHeight="1">
      <c r="A603" s="182"/>
      <c r="B603" s="205"/>
      <c r="C603" s="205"/>
      <c r="D603" s="205"/>
      <c r="E603" s="205"/>
      <c r="F603" s="205"/>
    </row>
    <row r="604" ht="13.5" customHeight="1">
      <c r="A604" s="182"/>
      <c r="B604" s="205"/>
      <c r="C604" s="205"/>
      <c r="D604" s="205"/>
      <c r="E604" s="205"/>
      <c r="F604" s="205"/>
    </row>
    <row r="605" ht="13.5" customHeight="1">
      <c r="A605" s="182"/>
      <c r="B605" s="205"/>
      <c r="C605" s="205"/>
      <c r="D605" s="205"/>
      <c r="E605" s="205"/>
      <c r="F605" s="205"/>
    </row>
    <row r="606" ht="13.5" customHeight="1">
      <c r="A606" s="182"/>
      <c r="B606" s="205"/>
      <c r="C606" s="205"/>
      <c r="D606" s="205"/>
      <c r="E606" s="205"/>
      <c r="F606" s="205"/>
    </row>
    <row r="607" ht="13.5" customHeight="1">
      <c r="A607" s="182"/>
      <c r="B607" s="205"/>
      <c r="C607" s="205"/>
      <c r="D607" s="205"/>
      <c r="E607" s="205"/>
      <c r="F607" s="205"/>
    </row>
    <row r="608" ht="13.5" customHeight="1">
      <c r="A608" s="182"/>
      <c r="B608" s="205"/>
      <c r="C608" s="205"/>
      <c r="D608" s="205"/>
      <c r="E608" s="205"/>
      <c r="F608" s="205"/>
    </row>
    <row r="609" ht="13.5" customHeight="1">
      <c r="A609" s="182"/>
      <c r="B609" s="205"/>
      <c r="C609" s="205"/>
      <c r="D609" s="205"/>
      <c r="E609" s="205"/>
      <c r="F609" s="205"/>
    </row>
    <row r="610" ht="13.5" customHeight="1">
      <c r="A610" s="182"/>
      <c r="B610" s="205"/>
      <c r="C610" s="205"/>
      <c r="D610" s="205"/>
      <c r="E610" s="205"/>
      <c r="F610" s="205"/>
    </row>
    <row r="611" ht="13.5" customHeight="1">
      <c r="A611" s="182"/>
      <c r="B611" s="205"/>
      <c r="C611" s="205"/>
      <c r="D611" s="205"/>
      <c r="E611" s="205"/>
      <c r="F611" s="205"/>
    </row>
    <row r="612" ht="13.5" customHeight="1">
      <c r="A612" s="182"/>
      <c r="B612" s="205"/>
      <c r="C612" s="205"/>
      <c r="D612" s="205"/>
      <c r="E612" s="205"/>
      <c r="F612" s="205"/>
    </row>
    <row r="613" ht="13.5" customHeight="1">
      <c r="A613" s="182"/>
      <c r="B613" s="205"/>
      <c r="C613" s="205"/>
      <c r="D613" s="205"/>
      <c r="E613" s="205"/>
      <c r="F613" s="205"/>
    </row>
    <row r="614" ht="13.5" customHeight="1">
      <c r="A614" s="182"/>
      <c r="B614" s="205"/>
      <c r="C614" s="205"/>
      <c r="D614" s="205"/>
      <c r="E614" s="205"/>
      <c r="F614" s="205"/>
    </row>
    <row r="615" ht="13.5" customHeight="1">
      <c r="A615" s="182"/>
      <c r="B615" s="205"/>
      <c r="C615" s="205"/>
      <c r="D615" s="205"/>
      <c r="E615" s="205"/>
      <c r="F615" s="205"/>
    </row>
    <row r="616" ht="13.5" customHeight="1">
      <c r="A616" s="182"/>
      <c r="B616" s="205"/>
      <c r="C616" s="205"/>
      <c r="D616" s="205"/>
      <c r="E616" s="205"/>
      <c r="F616" s="205"/>
    </row>
    <row r="617" ht="13.5" customHeight="1">
      <c r="A617" s="182"/>
      <c r="B617" s="205"/>
      <c r="C617" s="205"/>
      <c r="D617" s="205"/>
      <c r="E617" s="205"/>
      <c r="F617" s="205"/>
    </row>
    <row r="618" ht="13.5" customHeight="1">
      <c r="A618" s="182"/>
      <c r="B618" s="205"/>
      <c r="C618" s="205"/>
      <c r="D618" s="205"/>
      <c r="E618" s="205"/>
      <c r="F618" s="205"/>
    </row>
    <row r="619" ht="13.5" customHeight="1">
      <c r="A619" s="182"/>
      <c r="B619" s="205"/>
      <c r="C619" s="205"/>
      <c r="D619" s="205"/>
      <c r="E619" s="205"/>
      <c r="F619" s="205"/>
    </row>
    <row r="620" ht="13.5" customHeight="1">
      <c r="A620" s="182"/>
      <c r="B620" s="205"/>
      <c r="C620" s="205"/>
      <c r="D620" s="205"/>
      <c r="E620" s="205"/>
      <c r="F620" s="205"/>
    </row>
    <row r="621" ht="13.5" customHeight="1">
      <c r="A621" s="182"/>
      <c r="B621" s="205"/>
      <c r="C621" s="205"/>
      <c r="D621" s="205"/>
      <c r="E621" s="205"/>
      <c r="F621" s="205"/>
    </row>
    <row r="622" ht="13.5" customHeight="1">
      <c r="A622" s="182"/>
      <c r="B622" s="205"/>
      <c r="C622" s="205"/>
      <c r="D622" s="205"/>
      <c r="E622" s="205"/>
      <c r="F622" s="205"/>
    </row>
    <row r="623" ht="13.5" customHeight="1">
      <c r="A623" s="182"/>
      <c r="B623" s="205"/>
      <c r="C623" s="205"/>
      <c r="D623" s="205"/>
      <c r="E623" s="205"/>
      <c r="F623" s="205"/>
    </row>
    <row r="624" ht="13.5" customHeight="1">
      <c r="A624" s="182"/>
      <c r="B624" s="205"/>
      <c r="C624" s="205"/>
      <c r="D624" s="205"/>
      <c r="E624" s="205"/>
      <c r="F624" s="205"/>
    </row>
    <row r="625" ht="13.5" customHeight="1">
      <c r="A625" s="182"/>
      <c r="B625" s="205"/>
      <c r="C625" s="205"/>
      <c r="D625" s="205"/>
      <c r="E625" s="205"/>
      <c r="F625" s="205"/>
    </row>
    <row r="626" ht="13.5" customHeight="1">
      <c r="A626" s="182"/>
      <c r="B626" s="205"/>
      <c r="C626" s="205"/>
      <c r="D626" s="205"/>
      <c r="E626" s="205"/>
      <c r="F626" s="205"/>
    </row>
    <row r="627" ht="13.5" customHeight="1">
      <c r="A627" s="182"/>
      <c r="B627" s="205"/>
      <c r="C627" s="205"/>
      <c r="D627" s="205"/>
      <c r="E627" s="205"/>
      <c r="F627" s="205"/>
    </row>
    <row r="628" ht="13.5" customHeight="1">
      <c r="A628" s="182"/>
      <c r="B628" s="205"/>
      <c r="C628" s="205"/>
      <c r="D628" s="205"/>
      <c r="E628" s="205"/>
      <c r="F628" s="205"/>
    </row>
    <row r="629" ht="13.5" customHeight="1">
      <c r="A629" s="182"/>
      <c r="B629" s="205"/>
      <c r="C629" s="205"/>
      <c r="D629" s="205"/>
      <c r="E629" s="205"/>
      <c r="F629" s="205"/>
    </row>
    <row r="630" ht="13.5" customHeight="1">
      <c r="A630" s="182"/>
      <c r="B630" s="205"/>
      <c r="C630" s="205"/>
      <c r="D630" s="205"/>
      <c r="E630" s="205"/>
      <c r="F630" s="205"/>
    </row>
    <row r="631" ht="13.5" customHeight="1">
      <c r="A631" s="182"/>
      <c r="B631" s="205"/>
      <c r="C631" s="205"/>
      <c r="D631" s="205"/>
      <c r="E631" s="205"/>
      <c r="F631" s="205"/>
    </row>
    <row r="632" ht="13.5" customHeight="1">
      <c r="A632" s="182"/>
      <c r="B632" s="205"/>
      <c r="C632" s="205"/>
      <c r="D632" s="205"/>
      <c r="E632" s="205"/>
      <c r="F632" s="205"/>
    </row>
    <row r="633" ht="13.5" customHeight="1">
      <c r="A633" s="182"/>
      <c r="B633" s="205"/>
      <c r="C633" s="205"/>
      <c r="D633" s="205"/>
      <c r="E633" s="205"/>
      <c r="F633" s="205"/>
    </row>
    <row r="634" ht="13.5" customHeight="1">
      <c r="A634" s="182"/>
      <c r="B634" s="205"/>
      <c r="C634" s="205"/>
      <c r="D634" s="205"/>
      <c r="E634" s="205"/>
      <c r="F634" s="205"/>
    </row>
    <row r="635" ht="13.5" customHeight="1">
      <c r="A635" s="182"/>
      <c r="B635" s="205"/>
      <c r="C635" s="205"/>
      <c r="D635" s="205"/>
      <c r="E635" s="205"/>
      <c r="F635" s="205"/>
    </row>
    <row r="636" ht="13.5" customHeight="1">
      <c r="A636" s="182"/>
      <c r="B636" s="205"/>
      <c r="C636" s="205"/>
      <c r="D636" s="205"/>
      <c r="E636" s="205"/>
      <c r="F636" s="205"/>
    </row>
    <row r="637" ht="13.5" customHeight="1">
      <c r="A637" s="182"/>
      <c r="B637" s="205"/>
      <c r="C637" s="205"/>
      <c r="D637" s="205"/>
      <c r="E637" s="205"/>
      <c r="F637" s="205"/>
    </row>
    <row r="638" ht="13.5" customHeight="1">
      <c r="A638" s="182"/>
      <c r="B638" s="205"/>
      <c r="C638" s="205"/>
      <c r="D638" s="205"/>
      <c r="E638" s="205"/>
      <c r="F638" s="205"/>
    </row>
    <row r="639" ht="13.5" customHeight="1">
      <c r="A639" s="182"/>
      <c r="B639" s="205"/>
      <c r="C639" s="205"/>
      <c r="D639" s="205"/>
      <c r="E639" s="205"/>
      <c r="F639" s="205"/>
    </row>
    <row r="640" ht="13.5" customHeight="1">
      <c r="A640" s="182"/>
      <c r="B640" s="205"/>
      <c r="C640" s="205"/>
      <c r="D640" s="205"/>
      <c r="E640" s="205"/>
      <c r="F640" s="205"/>
    </row>
    <row r="641" ht="13.5" customHeight="1">
      <c r="A641" s="182"/>
      <c r="B641" s="205"/>
      <c r="C641" s="205"/>
      <c r="D641" s="205"/>
      <c r="E641" s="205"/>
      <c r="F641" s="205"/>
    </row>
    <row r="642" ht="13.5" customHeight="1">
      <c r="A642" s="182"/>
      <c r="B642" s="205"/>
      <c r="C642" s="205"/>
      <c r="D642" s="205"/>
      <c r="E642" s="205"/>
      <c r="F642" s="205"/>
    </row>
    <row r="643" ht="13.5" customHeight="1">
      <c r="A643" s="182"/>
      <c r="B643" s="205"/>
      <c r="C643" s="205"/>
      <c r="D643" s="205"/>
      <c r="E643" s="205"/>
      <c r="F643" s="205"/>
    </row>
    <row r="644" ht="13.5" customHeight="1">
      <c r="A644" s="182"/>
      <c r="B644" s="205"/>
      <c r="C644" s="205"/>
      <c r="D644" s="205"/>
      <c r="E644" s="205"/>
      <c r="F644" s="205"/>
    </row>
    <row r="645" ht="13.5" customHeight="1">
      <c r="A645" s="182"/>
      <c r="B645" s="205"/>
      <c r="C645" s="205"/>
      <c r="D645" s="205"/>
      <c r="E645" s="205"/>
      <c r="F645" s="205"/>
    </row>
    <row r="646" ht="13.5" customHeight="1">
      <c r="A646" s="182"/>
      <c r="B646" s="205"/>
      <c r="C646" s="205"/>
      <c r="D646" s="205"/>
      <c r="E646" s="205"/>
      <c r="F646" s="205"/>
    </row>
    <row r="647" ht="13.5" customHeight="1">
      <c r="A647" s="182"/>
      <c r="B647" s="205"/>
      <c r="C647" s="205"/>
      <c r="D647" s="205"/>
      <c r="E647" s="205"/>
      <c r="F647" s="205"/>
    </row>
    <row r="648" ht="13.5" customHeight="1">
      <c r="A648" s="182"/>
      <c r="B648" s="205"/>
      <c r="C648" s="205"/>
      <c r="D648" s="205"/>
      <c r="E648" s="205"/>
      <c r="F648" s="205"/>
    </row>
    <row r="649" ht="13.5" customHeight="1">
      <c r="A649" s="182"/>
      <c r="B649" s="205"/>
      <c r="C649" s="205"/>
      <c r="D649" s="205"/>
      <c r="E649" s="205"/>
      <c r="F649" s="205"/>
    </row>
    <row r="650" ht="13.5" customHeight="1">
      <c r="A650" s="182"/>
      <c r="B650" s="205"/>
      <c r="C650" s="205"/>
      <c r="D650" s="205"/>
      <c r="E650" s="205"/>
      <c r="F650" s="205"/>
    </row>
    <row r="651" ht="13.5" customHeight="1">
      <c r="A651" s="182"/>
      <c r="B651" s="205"/>
      <c r="C651" s="205"/>
      <c r="D651" s="205"/>
      <c r="E651" s="205"/>
      <c r="F651" s="205"/>
    </row>
    <row r="652" ht="13.5" customHeight="1">
      <c r="A652" s="182"/>
      <c r="B652" s="205"/>
      <c r="C652" s="205"/>
      <c r="D652" s="205"/>
      <c r="E652" s="205"/>
      <c r="F652" s="205"/>
    </row>
    <row r="653" ht="13.5" customHeight="1">
      <c r="A653" s="182"/>
      <c r="B653" s="205"/>
      <c r="C653" s="205"/>
      <c r="D653" s="205"/>
      <c r="E653" s="205"/>
      <c r="F653" s="205"/>
    </row>
    <row r="654" ht="13.5" customHeight="1">
      <c r="A654" s="182"/>
      <c r="B654" s="205"/>
      <c r="C654" s="205"/>
      <c r="D654" s="205"/>
      <c r="E654" s="205"/>
      <c r="F654" s="205"/>
    </row>
    <row r="655" ht="13.5" customHeight="1">
      <c r="A655" s="182"/>
      <c r="B655" s="205"/>
      <c r="C655" s="205"/>
      <c r="D655" s="205"/>
      <c r="E655" s="205"/>
      <c r="F655" s="205"/>
    </row>
    <row r="656" ht="13.5" customHeight="1">
      <c r="A656" s="182"/>
      <c r="B656" s="205"/>
      <c r="C656" s="205"/>
      <c r="D656" s="205"/>
      <c r="E656" s="205"/>
      <c r="F656" s="205"/>
    </row>
    <row r="657" ht="13.5" customHeight="1">
      <c r="A657" s="182"/>
      <c r="B657" s="205"/>
      <c r="C657" s="205"/>
      <c r="D657" s="205"/>
      <c r="E657" s="205"/>
      <c r="F657" s="205"/>
    </row>
    <row r="658" ht="13.5" customHeight="1">
      <c r="A658" s="182"/>
      <c r="B658" s="205"/>
      <c r="C658" s="205"/>
      <c r="D658" s="205"/>
      <c r="E658" s="205"/>
      <c r="F658" s="205"/>
    </row>
    <row r="659" ht="13.5" customHeight="1">
      <c r="A659" s="182"/>
      <c r="B659" s="205"/>
      <c r="C659" s="205"/>
      <c r="D659" s="205"/>
      <c r="E659" s="205"/>
      <c r="F659" s="205"/>
    </row>
    <row r="660" ht="13.5" customHeight="1">
      <c r="A660" s="182"/>
      <c r="B660" s="205"/>
      <c r="C660" s="205"/>
      <c r="D660" s="205"/>
      <c r="E660" s="205"/>
      <c r="F660" s="205"/>
    </row>
    <row r="661" ht="13.5" customHeight="1">
      <c r="A661" s="182"/>
      <c r="B661" s="205"/>
      <c r="C661" s="205"/>
      <c r="D661" s="205"/>
      <c r="E661" s="205"/>
      <c r="F661" s="205"/>
    </row>
    <row r="662" ht="13.5" customHeight="1">
      <c r="A662" s="182"/>
      <c r="B662" s="205"/>
      <c r="C662" s="205"/>
      <c r="D662" s="205"/>
      <c r="E662" s="205"/>
      <c r="F662" s="205"/>
    </row>
    <row r="663" ht="13.5" customHeight="1">
      <c r="A663" s="182"/>
      <c r="B663" s="205"/>
      <c r="C663" s="205"/>
      <c r="D663" s="205"/>
      <c r="E663" s="205"/>
      <c r="F663" s="205"/>
    </row>
    <row r="664" ht="13.5" customHeight="1">
      <c r="A664" s="182"/>
      <c r="B664" s="205"/>
      <c r="C664" s="205"/>
      <c r="D664" s="205"/>
      <c r="E664" s="205"/>
      <c r="F664" s="205"/>
    </row>
    <row r="665" ht="13.5" customHeight="1">
      <c r="A665" s="182"/>
      <c r="B665" s="205"/>
      <c r="C665" s="205"/>
      <c r="D665" s="205"/>
      <c r="E665" s="205"/>
      <c r="F665" s="205"/>
    </row>
    <row r="666" ht="13.5" customHeight="1">
      <c r="A666" s="182"/>
      <c r="B666" s="205"/>
      <c r="C666" s="205"/>
      <c r="D666" s="205"/>
      <c r="E666" s="205"/>
      <c r="F666" s="205"/>
    </row>
    <row r="667" ht="13.5" customHeight="1">
      <c r="A667" s="182"/>
      <c r="B667" s="205"/>
      <c r="C667" s="205"/>
      <c r="D667" s="205"/>
      <c r="E667" s="205"/>
      <c r="F667" s="205"/>
    </row>
    <row r="668" ht="13.5" customHeight="1">
      <c r="A668" s="182"/>
      <c r="B668" s="205"/>
      <c r="C668" s="205"/>
      <c r="D668" s="205"/>
      <c r="E668" s="205"/>
      <c r="F668" s="205"/>
    </row>
    <row r="669" ht="13.5" customHeight="1">
      <c r="A669" s="182"/>
      <c r="B669" s="205"/>
      <c r="C669" s="205"/>
      <c r="D669" s="205"/>
      <c r="E669" s="205"/>
      <c r="F669" s="205"/>
    </row>
    <row r="670" ht="13.5" customHeight="1">
      <c r="A670" s="182"/>
      <c r="B670" s="205"/>
      <c r="C670" s="205"/>
      <c r="D670" s="205"/>
      <c r="E670" s="205"/>
      <c r="F670" s="205"/>
    </row>
    <row r="671" ht="13.5" customHeight="1">
      <c r="A671" s="182"/>
      <c r="B671" s="205"/>
      <c r="C671" s="205"/>
      <c r="D671" s="205"/>
      <c r="E671" s="205"/>
      <c r="F671" s="205"/>
    </row>
    <row r="672" ht="13.5" customHeight="1">
      <c r="A672" s="182"/>
      <c r="B672" s="205"/>
      <c r="C672" s="205"/>
      <c r="D672" s="205"/>
      <c r="E672" s="205"/>
      <c r="F672" s="205"/>
    </row>
    <row r="673" ht="13.5" customHeight="1">
      <c r="A673" s="182"/>
      <c r="B673" s="205"/>
      <c r="C673" s="205"/>
      <c r="D673" s="205"/>
      <c r="E673" s="205"/>
      <c r="F673" s="205"/>
    </row>
    <row r="674" ht="13.5" customHeight="1">
      <c r="A674" s="182"/>
      <c r="B674" s="205"/>
      <c r="C674" s="205"/>
      <c r="D674" s="205"/>
      <c r="E674" s="205"/>
      <c r="F674" s="205"/>
    </row>
    <row r="675" ht="13.5" customHeight="1">
      <c r="A675" s="182"/>
      <c r="B675" s="205"/>
      <c r="C675" s="205"/>
      <c r="D675" s="205"/>
      <c r="E675" s="205"/>
      <c r="F675" s="205"/>
    </row>
    <row r="676" ht="13.5" customHeight="1">
      <c r="A676" s="182"/>
      <c r="B676" s="205"/>
      <c r="C676" s="205"/>
      <c r="D676" s="205"/>
      <c r="E676" s="205"/>
      <c r="F676" s="205"/>
    </row>
    <row r="677" ht="13.5" customHeight="1">
      <c r="A677" s="182"/>
      <c r="B677" s="205"/>
      <c r="C677" s="205"/>
      <c r="D677" s="205"/>
      <c r="E677" s="205"/>
      <c r="F677" s="205"/>
    </row>
    <row r="678" ht="13.5" customHeight="1">
      <c r="A678" s="182"/>
      <c r="B678" s="205"/>
      <c r="C678" s="205"/>
      <c r="D678" s="205"/>
      <c r="E678" s="205"/>
      <c r="F678" s="205"/>
    </row>
    <row r="679" ht="13.5" customHeight="1">
      <c r="A679" s="182"/>
      <c r="B679" s="205"/>
      <c r="C679" s="205"/>
      <c r="D679" s="205"/>
      <c r="E679" s="205"/>
      <c r="F679" s="205"/>
    </row>
    <row r="680" ht="13.5" customHeight="1">
      <c r="A680" s="182"/>
      <c r="B680" s="205"/>
      <c r="C680" s="205"/>
      <c r="D680" s="205"/>
      <c r="E680" s="205"/>
      <c r="F680" s="205"/>
    </row>
    <row r="681" ht="13.5" customHeight="1">
      <c r="A681" s="182"/>
      <c r="B681" s="205"/>
      <c r="C681" s="205"/>
      <c r="D681" s="205"/>
      <c r="E681" s="205"/>
      <c r="F681" s="205"/>
    </row>
    <row r="682" ht="13.5" customHeight="1">
      <c r="A682" s="182"/>
      <c r="B682" s="205"/>
      <c r="C682" s="205"/>
      <c r="D682" s="205"/>
      <c r="E682" s="205"/>
      <c r="F682" s="205"/>
    </row>
    <row r="683" ht="13.5" customHeight="1">
      <c r="A683" s="182"/>
      <c r="B683" s="205"/>
      <c r="C683" s="205"/>
      <c r="D683" s="205"/>
      <c r="E683" s="205"/>
      <c r="F683" s="205"/>
    </row>
    <row r="684" ht="13.5" customHeight="1">
      <c r="A684" s="182"/>
      <c r="B684" s="205"/>
      <c r="C684" s="205"/>
      <c r="D684" s="205"/>
      <c r="E684" s="205"/>
      <c r="F684" s="205"/>
    </row>
    <row r="685" ht="13.5" customHeight="1">
      <c r="A685" s="182"/>
      <c r="B685" s="205"/>
      <c r="C685" s="205"/>
      <c r="D685" s="205"/>
      <c r="E685" s="205"/>
      <c r="F685" s="205"/>
    </row>
    <row r="686" ht="13.5" customHeight="1">
      <c r="A686" s="182"/>
      <c r="B686" s="205"/>
      <c r="C686" s="205"/>
      <c r="D686" s="205"/>
      <c r="E686" s="205"/>
      <c r="F686" s="205"/>
    </row>
    <row r="687" ht="13.5" customHeight="1">
      <c r="A687" s="182"/>
      <c r="B687" s="205"/>
      <c r="C687" s="205"/>
      <c r="D687" s="205"/>
      <c r="E687" s="205"/>
      <c r="F687" s="205"/>
    </row>
    <row r="688" ht="13.5" customHeight="1">
      <c r="A688" s="182"/>
      <c r="B688" s="205"/>
      <c r="C688" s="205"/>
      <c r="D688" s="205"/>
      <c r="E688" s="205"/>
      <c r="F688" s="205"/>
    </row>
    <row r="689" ht="13.5" customHeight="1">
      <c r="A689" s="182"/>
      <c r="B689" s="205"/>
      <c r="C689" s="205"/>
      <c r="D689" s="205"/>
      <c r="E689" s="205"/>
      <c r="F689" s="205"/>
    </row>
    <row r="690" ht="13.5" customHeight="1">
      <c r="A690" s="182"/>
      <c r="B690" s="205"/>
      <c r="C690" s="205"/>
      <c r="D690" s="205"/>
      <c r="E690" s="205"/>
      <c r="F690" s="205"/>
    </row>
    <row r="691" ht="13.5" customHeight="1">
      <c r="A691" s="182"/>
      <c r="B691" s="205"/>
      <c r="C691" s="205"/>
      <c r="D691" s="205"/>
      <c r="E691" s="205"/>
      <c r="F691" s="205"/>
    </row>
    <row r="692" ht="13.5" customHeight="1">
      <c r="A692" s="182"/>
      <c r="B692" s="205"/>
      <c r="C692" s="205"/>
      <c r="D692" s="205"/>
      <c r="E692" s="205"/>
      <c r="F692" s="205"/>
    </row>
    <row r="693" ht="13.5" customHeight="1">
      <c r="A693" s="182"/>
      <c r="B693" s="205"/>
      <c r="C693" s="205"/>
      <c r="D693" s="205"/>
      <c r="E693" s="205"/>
      <c r="F693" s="205"/>
    </row>
    <row r="694" ht="13.5" customHeight="1">
      <c r="A694" s="182"/>
      <c r="B694" s="205"/>
      <c r="C694" s="205"/>
      <c r="D694" s="205"/>
      <c r="E694" s="205"/>
      <c r="F694" s="205"/>
    </row>
    <row r="695" ht="13.5" customHeight="1">
      <c r="A695" s="182"/>
      <c r="B695" s="205"/>
      <c r="C695" s="205"/>
      <c r="D695" s="205"/>
      <c r="E695" s="205"/>
      <c r="F695" s="205"/>
    </row>
    <row r="696" ht="13.5" customHeight="1">
      <c r="A696" s="182"/>
      <c r="B696" s="205"/>
      <c r="C696" s="205"/>
      <c r="D696" s="205"/>
      <c r="E696" s="205"/>
      <c r="F696" s="205"/>
    </row>
    <row r="697" ht="13.5" customHeight="1">
      <c r="A697" s="182"/>
      <c r="B697" s="205"/>
      <c r="C697" s="205"/>
      <c r="D697" s="205"/>
      <c r="E697" s="205"/>
      <c r="F697" s="205"/>
    </row>
    <row r="698" ht="13.5" customHeight="1">
      <c r="A698" s="182"/>
      <c r="B698" s="205"/>
      <c r="C698" s="205"/>
      <c r="D698" s="205"/>
      <c r="E698" s="205"/>
      <c r="F698" s="205"/>
    </row>
    <row r="699" ht="13.5" customHeight="1">
      <c r="A699" s="182"/>
      <c r="B699" s="205"/>
      <c r="C699" s="205"/>
      <c r="D699" s="205"/>
      <c r="E699" s="205"/>
      <c r="F699" s="205"/>
    </row>
    <row r="700" ht="13.5" customHeight="1">
      <c r="A700" s="182"/>
      <c r="B700" s="205"/>
      <c r="C700" s="205"/>
      <c r="D700" s="205"/>
      <c r="E700" s="205"/>
      <c r="F700" s="205"/>
    </row>
    <row r="701" ht="13.5" customHeight="1">
      <c r="A701" s="182"/>
      <c r="B701" s="205"/>
      <c r="C701" s="205"/>
      <c r="D701" s="205"/>
      <c r="E701" s="205"/>
      <c r="F701" s="205"/>
    </row>
    <row r="702" ht="13.5" customHeight="1">
      <c r="A702" s="182"/>
      <c r="B702" s="205"/>
      <c r="C702" s="205"/>
      <c r="D702" s="205"/>
      <c r="E702" s="205"/>
      <c r="F702" s="205"/>
    </row>
    <row r="703" ht="13.5" customHeight="1">
      <c r="A703" s="182"/>
      <c r="B703" s="205"/>
      <c r="C703" s="205"/>
      <c r="D703" s="205"/>
      <c r="E703" s="205"/>
      <c r="F703" s="205"/>
    </row>
    <row r="704" ht="13.5" customHeight="1">
      <c r="A704" s="182"/>
      <c r="B704" s="205"/>
      <c r="C704" s="205"/>
      <c r="D704" s="205"/>
      <c r="E704" s="205"/>
      <c r="F704" s="205"/>
    </row>
    <row r="705" ht="13.5" customHeight="1">
      <c r="A705" s="182"/>
      <c r="B705" s="205"/>
      <c r="C705" s="205"/>
      <c r="D705" s="205"/>
      <c r="E705" s="205"/>
      <c r="F705" s="205"/>
    </row>
    <row r="706" ht="13.5" customHeight="1">
      <c r="A706" s="182"/>
      <c r="B706" s="205"/>
      <c r="C706" s="205"/>
      <c r="D706" s="205"/>
      <c r="E706" s="205"/>
      <c r="F706" s="205"/>
    </row>
    <row r="707" ht="13.5" customHeight="1">
      <c r="A707" s="182"/>
      <c r="B707" s="205"/>
      <c r="C707" s="205"/>
      <c r="D707" s="205"/>
      <c r="E707" s="205"/>
      <c r="F707" s="205"/>
    </row>
    <row r="708" ht="13.5" customHeight="1">
      <c r="A708" s="182"/>
      <c r="B708" s="205"/>
      <c r="C708" s="205"/>
      <c r="D708" s="205"/>
      <c r="E708" s="205"/>
      <c r="F708" s="205"/>
    </row>
    <row r="709" ht="13.5" customHeight="1">
      <c r="A709" s="182"/>
      <c r="B709" s="205"/>
      <c r="C709" s="205"/>
      <c r="D709" s="205"/>
      <c r="E709" s="205"/>
      <c r="F709" s="205"/>
    </row>
    <row r="710" ht="13.5" customHeight="1">
      <c r="A710" s="182"/>
      <c r="B710" s="205"/>
      <c r="C710" s="205"/>
      <c r="D710" s="205"/>
      <c r="E710" s="205"/>
      <c r="F710" s="205"/>
    </row>
    <row r="711" ht="13.5" customHeight="1">
      <c r="A711" s="182"/>
      <c r="B711" s="205"/>
      <c r="C711" s="205"/>
      <c r="D711" s="205"/>
      <c r="E711" s="205"/>
      <c r="F711" s="205"/>
    </row>
    <row r="712" ht="13.5" customHeight="1">
      <c r="A712" s="182"/>
      <c r="B712" s="205"/>
      <c r="C712" s="205"/>
      <c r="D712" s="205"/>
      <c r="E712" s="205"/>
      <c r="F712" s="205"/>
    </row>
    <row r="713" ht="13.5" customHeight="1">
      <c r="A713" s="182"/>
      <c r="B713" s="205"/>
      <c r="C713" s="205"/>
      <c r="D713" s="205"/>
      <c r="E713" s="205"/>
      <c r="F713" s="205"/>
    </row>
    <row r="714" ht="13.5" customHeight="1">
      <c r="A714" s="182"/>
      <c r="B714" s="205"/>
      <c r="C714" s="205"/>
      <c r="D714" s="205"/>
      <c r="E714" s="205"/>
      <c r="F714" s="205"/>
    </row>
    <row r="715" ht="13.5" customHeight="1">
      <c r="A715" s="182"/>
      <c r="B715" s="205"/>
      <c r="C715" s="205"/>
      <c r="D715" s="205"/>
      <c r="E715" s="205"/>
      <c r="F715" s="205"/>
    </row>
    <row r="716" ht="13.5" customHeight="1">
      <c r="A716" s="182"/>
      <c r="B716" s="205"/>
      <c r="C716" s="205"/>
      <c r="D716" s="205"/>
      <c r="E716" s="205"/>
      <c r="F716" s="205"/>
    </row>
    <row r="717" ht="13.5" customHeight="1">
      <c r="A717" s="182"/>
      <c r="B717" s="205"/>
      <c r="C717" s="205"/>
      <c r="D717" s="205"/>
      <c r="E717" s="205"/>
      <c r="F717" s="205"/>
    </row>
    <row r="718" ht="13.5" customHeight="1">
      <c r="A718" s="182"/>
      <c r="B718" s="205"/>
      <c r="C718" s="205"/>
      <c r="D718" s="205"/>
      <c r="E718" s="205"/>
      <c r="F718" s="205"/>
    </row>
    <row r="719" ht="13.5" customHeight="1">
      <c r="A719" s="182"/>
      <c r="B719" s="205"/>
      <c r="C719" s="205"/>
      <c r="D719" s="205"/>
      <c r="E719" s="205"/>
      <c r="F719" s="205"/>
    </row>
    <row r="720" ht="13.5" customHeight="1">
      <c r="A720" s="182"/>
      <c r="B720" s="205"/>
      <c r="C720" s="205"/>
      <c r="D720" s="205"/>
      <c r="E720" s="205"/>
      <c r="F720" s="205"/>
    </row>
    <row r="721" ht="13.5" customHeight="1">
      <c r="A721" s="182"/>
      <c r="B721" s="205"/>
      <c r="C721" s="205"/>
      <c r="D721" s="205"/>
      <c r="E721" s="205"/>
      <c r="F721" s="205"/>
    </row>
    <row r="722" ht="13.5" customHeight="1">
      <c r="A722" s="182"/>
      <c r="B722" s="205"/>
      <c r="C722" s="205"/>
      <c r="D722" s="205"/>
      <c r="E722" s="205"/>
      <c r="F722" s="205"/>
    </row>
    <row r="723" ht="13.5" customHeight="1">
      <c r="A723" s="182"/>
      <c r="B723" s="205"/>
      <c r="C723" s="205"/>
      <c r="D723" s="205"/>
      <c r="E723" s="205"/>
      <c r="F723" s="205"/>
    </row>
    <row r="724" ht="13.5" customHeight="1">
      <c r="A724" s="182"/>
      <c r="B724" s="205"/>
      <c r="C724" s="205"/>
      <c r="D724" s="205"/>
      <c r="E724" s="205"/>
      <c r="F724" s="205"/>
    </row>
    <row r="725" ht="13.5" customHeight="1">
      <c r="A725" s="182"/>
      <c r="B725" s="205"/>
      <c r="C725" s="205"/>
      <c r="D725" s="205"/>
      <c r="E725" s="205"/>
      <c r="F725" s="205"/>
    </row>
    <row r="726" ht="13.5" customHeight="1">
      <c r="A726" s="182"/>
      <c r="B726" s="205"/>
      <c r="C726" s="205"/>
      <c r="D726" s="205"/>
      <c r="E726" s="205"/>
      <c r="F726" s="205"/>
    </row>
    <row r="727" ht="13.5" customHeight="1">
      <c r="A727" s="182"/>
      <c r="B727" s="205"/>
      <c r="C727" s="205"/>
      <c r="D727" s="205"/>
      <c r="E727" s="205"/>
      <c r="F727" s="205"/>
    </row>
    <row r="728" ht="13.5" customHeight="1">
      <c r="A728" s="182"/>
      <c r="B728" s="205"/>
      <c r="C728" s="205"/>
      <c r="D728" s="205"/>
      <c r="E728" s="205"/>
      <c r="F728" s="205"/>
    </row>
    <row r="729" ht="13.5" customHeight="1">
      <c r="A729" s="182"/>
      <c r="B729" s="205"/>
      <c r="C729" s="205"/>
      <c r="D729" s="205"/>
      <c r="E729" s="205"/>
      <c r="F729" s="205"/>
    </row>
    <row r="730" ht="13.5" customHeight="1">
      <c r="A730" s="182"/>
      <c r="B730" s="205"/>
      <c r="C730" s="205"/>
      <c r="D730" s="205"/>
      <c r="E730" s="205"/>
      <c r="F730" s="205"/>
    </row>
    <row r="731" ht="13.5" customHeight="1">
      <c r="A731" s="182"/>
      <c r="B731" s="205"/>
      <c r="C731" s="205"/>
      <c r="D731" s="205"/>
      <c r="E731" s="205"/>
      <c r="F731" s="205"/>
    </row>
    <row r="732" ht="13.5" customHeight="1">
      <c r="A732" s="182"/>
      <c r="B732" s="205"/>
      <c r="C732" s="205"/>
      <c r="D732" s="205"/>
      <c r="E732" s="205"/>
      <c r="F732" s="205"/>
    </row>
    <row r="733" ht="13.5" customHeight="1">
      <c r="A733" s="182"/>
      <c r="B733" s="205"/>
      <c r="C733" s="205"/>
      <c r="D733" s="205"/>
      <c r="E733" s="205"/>
      <c r="F733" s="205"/>
    </row>
    <row r="734" ht="13.5" customHeight="1">
      <c r="A734" s="182"/>
      <c r="B734" s="205"/>
      <c r="C734" s="205"/>
      <c r="D734" s="205"/>
      <c r="E734" s="205"/>
      <c r="F734" s="205"/>
    </row>
    <row r="735" ht="13.5" customHeight="1">
      <c r="A735" s="182"/>
      <c r="B735" s="205"/>
      <c r="C735" s="205"/>
      <c r="D735" s="205"/>
      <c r="E735" s="205"/>
      <c r="F735" s="205"/>
    </row>
    <row r="736" ht="13.5" customHeight="1">
      <c r="A736" s="182"/>
      <c r="B736" s="205"/>
      <c r="C736" s="205"/>
      <c r="D736" s="205"/>
      <c r="E736" s="205"/>
      <c r="F736" s="205"/>
    </row>
    <row r="737" ht="13.5" customHeight="1">
      <c r="A737" s="182"/>
      <c r="B737" s="205"/>
      <c r="C737" s="205"/>
      <c r="D737" s="205"/>
      <c r="E737" s="205"/>
      <c r="F737" s="205"/>
    </row>
    <row r="738" ht="13.5" customHeight="1">
      <c r="A738" s="182"/>
      <c r="B738" s="205"/>
      <c r="C738" s="205"/>
      <c r="D738" s="205"/>
      <c r="E738" s="205"/>
      <c r="F738" s="205"/>
    </row>
    <row r="739" ht="13.5" customHeight="1">
      <c r="A739" s="182"/>
      <c r="B739" s="205"/>
      <c r="C739" s="205"/>
      <c r="D739" s="205"/>
      <c r="E739" s="205"/>
      <c r="F739" s="205"/>
    </row>
    <row r="740" ht="13.5" customHeight="1">
      <c r="A740" s="182"/>
      <c r="B740" s="205"/>
      <c r="C740" s="205"/>
      <c r="D740" s="205"/>
      <c r="E740" s="205"/>
      <c r="F740" s="205"/>
    </row>
    <row r="741" ht="13.5" customHeight="1">
      <c r="A741" s="182"/>
      <c r="B741" s="205"/>
      <c r="C741" s="205"/>
      <c r="D741" s="205"/>
      <c r="E741" s="205"/>
      <c r="F741" s="205"/>
    </row>
    <row r="742" ht="13.5" customHeight="1">
      <c r="A742" s="182"/>
      <c r="B742" s="205"/>
      <c r="C742" s="205"/>
      <c r="D742" s="205"/>
      <c r="E742" s="205"/>
      <c r="F742" s="205"/>
    </row>
    <row r="743" ht="13.5" customHeight="1">
      <c r="A743" s="182"/>
      <c r="B743" s="205"/>
      <c r="C743" s="205"/>
      <c r="D743" s="205"/>
      <c r="E743" s="205"/>
      <c r="F743" s="205"/>
    </row>
    <row r="744" ht="13.5" customHeight="1">
      <c r="A744" s="182"/>
      <c r="B744" s="205"/>
      <c r="C744" s="205"/>
      <c r="D744" s="205"/>
      <c r="E744" s="205"/>
      <c r="F744" s="205"/>
    </row>
    <row r="745" ht="13.5" customHeight="1">
      <c r="A745" s="182"/>
      <c r="B745" s="205"/>
      <c r="C745" s="205"/>
      <c r="D745" s="205"/>
      <c r="E745" s="205"/>
      <c r="F745" s="205"/>
    </row>
    <row r="746" ht="13.5" customHeight="1">
      <c r="A746" s="182"/>
      <c r="B746" s="205"/>
      <c r="C746" s="205"/>
      <c r="D746" s="205"/>
      <c r="E746" s="205"/>
      <c r="F746" s="205"/>
    </row>
    <row r="747" ht="13.5" customHeight="1">
      <c r="A747" s="182"/>
      <c r="B747" s="205"/>
      <c r="C747" s="205"/>
      <c r="D747" s="205"/>
      <c r="E747" s="205"/>
      <c r="F747" s="205"/>
    </row>
    <row r="748" ht="13.5" customHeight="1">
      <c r="A748" s="182"/>
      <c r="B748" s="205"/>
      <c r="C748" s="205"/>
      <c r="D748" s="205"/>
      <c r="E748" s="205"/>
      <c r="F748" s="205"/>
    </row>
    <row r="749" ht="13.5" customHeight="1">
      <c r="A749" s="182"/>
      <c r="B749" s="205"/>
      <c r="C749" s="205"/>
      <c r="D749" s="205"/>
      <c r="E749" s="205"/>
      <c r="F749" s="205"/>
    </row>
    <row r="750" ht="13.5" customHeight="1">
      <c r="A750" s="182"/>
      <c r="B750" s="205"/>
      <c r="C750" s="205"/>
      <c r="D750" s="205"/>
      <c r="E750" s="205"/>
      <c r="F750" s="205"/>
    </row>
    <row r="751" ht="13.5" customHeight="1">
      <c r="A751" s="182"/>
      <c r="B751" s="205"/>
      <c r="C751" s="205"/>
      <c r="D751" s="205"/>
      <c r="E751" s="205"/>
      <c r="F751" s="205"/>
    </row>
    <row r="752" ht="13.5" customHeight="1">
      <c r="A752" s="182"/>
      <c r="B752" s="205"/>
      <c r="C752" s="205"/>
      <c r="D752" s="205"/>
      <c r="E752" s="205"/>
      <c r="F752" s="205"/>
    </row>
    <row r="753" ht="13.5" customHeight="1">
      <c r="A753" s="182"/>
      <c r="B753" s="205"/>
      <c r="C753" s="205"/>
      <c r="D753" s="205"/>
      <c r="E753" s="205"/>
      <c r="F753" s="205"/>
    </row>
    <row r="754" ht="13.5" customHeight="1">
      <c r="A754" s="182"/>
      <c r="B754" s="205"/>
      <c r="C754" s="205"/>
      <c r="D754" s="205"/>
      <c r="E754" s="205"/>
      <c r="F754" s="205"/>
    </row>
    <row r="755" ht="13.5" customHeight="1">
      <c r="A755" s="182"/>
      <c r="B755" s="205"/>
      <c r="C755" s="205"/>
      <c r="D755" s="205"/>
      <c r="E755" s="205"/>
      <c r="F755" s="205"/>
    </row>
    <row r="756" ht="13.5" customHeight="1">
      <c r="A756" s="182"/>
      <c r="B756" s="205"/>
      <c r="C756" s="205"/>
      <c r="D756" s="205"/>
      <c r="E756" s="205"/>
      <c r="F756" s="205"/>
    </row>
    <row r="757" ht="13.5" customHeight="1">
      <c r="A757" s="182"/>
      <c r="B757" s="205"/>
      <c r="C757" s="205"/>
      <c r="D757" s="205"/>
      <c r="E757" s="205"/>
      <c r="F757" s="205"/>
    </row>
    <row r="758" ht="13.5" customHeight="1">
      <c r="A758" s="182"/>
      <c r="B758" s="205"/>
      <c r="C758" s="205"/>
      <c r="D758" s="205"/>
      <c r="E758" s="205"/>
      <c r="F758" s="205"/>
    </row>
    <row r="759" ht="13.5" customHeight="1">
      <c r="A759" s="182"/>
      <c r="B759" s="205"/>
      <c r="C759" s="205"/>
      <c r="D759" s="205"/>
      <c r="E759" s="205"/>
      <c r="F759" s="205"/>
    </row>
    <row r="760" ht="13.5" customHeight="1">
      <c r="A760" s="182"/>
      <c r="B760" s="205"/>
      <c r="C760" s="205"/>
      <c r="D760" s="205"/>
      <c r="E760" s="205"/>
      <c r="F760" s="205"/>
    </row>
    <row r="761" ht="13.5" customHeight="1">
      <c r="A761" s="182"/>
      <c r="B761" s="205"/>
      <c r="C761" s="205"/>
      <c r="D761" s="205"/>
      <c r="E761" s="205"/>
      <c r="F761" s="205"/>
    </row>
    <row r="762" ht="13.5" customHeight="1">
      <c r="A762" s="182"/>
      <c r="B762" s="205"/>
      <c r="C762" s="205"/>
      <c r="D762" s="205"/>
      <c r="E762" s="205"/>
      <c r="F762" s="205"/>
    </row>
    <row r="763" ht="13.5" customHeight="1">
      <c r="A763" s="182"/>
      <c r="B763" s="205"/>
      <c r="C763" s="205"/>
      <c r="D763" s="205"/>
      <c r="E763" s="205"/>
      <c r="F763" s="205"/>
    </row>
    <row r="764" ht="13.5" customHeight="1">
      <c r="A764" s="182"/>
      <c r="B764" s="205"/>
      <c r="C764" s="205"/>
      <c r="D764" s="205"/>
      <c r="E764" s="205"/>
      <c r="F764" s="205"/>
    </row>
    <row r="765" ht="13.5" customHeight="1">
      <c r="A765" s="182"/>
      <c r="B765" s="205"/>
      <c r="C765" s="205"/>
      <c r="D765" s="205"/>
      <c r="E765" s="205"/>
      <c r="F765" s="205"/>
    </row>
    <row r="766" ht="13.5" customHeight="1">
      <c r="A766" s="182"/>
      <c r="B766" s="205"/>
      <c r="C766" s="205"/>
      <c r="D766" s="205"/>
      <c r="E766" s="205"/>
      <c r="F766" s="205"/>
    </row>
    <row r="767" ht="13.5" customHeight="1">
      <c r="A767" s="182"/>
      <c r="B767" s="205"/>
      <c r="C767" s="205"/>
      <c r="D767" s="205"/>
      <c r="E767" s="205"/>
      <c r="F767" s="205"/>
    </row>
    <row r="768" ht="13.5" customHeight="1">
      <c r="A768" s="182"/>
      <c r="B768" s="205"/>
      <c r="C768" s="205"/>
      <c r="D768" s="205"/>
      <c r="E768" s="205"/>
      <c r="F768" s="205"/>
    </row>
    <row r="769" ht="13.5" customHeight="1">
      <c r="A769" s="182"/>
      <c r="B769" s="205"/>
      <c r="C769" s="205"/>
      <c r="D769" s="205"/>
      <c r="E769" s="205"/>
      <c r="F769" s="205"/>
    </row>
    <row r="770" ht="13.5" customHeight="1">
      <c r="A770" s="182"/>
      <c r="B770" s="205"/>
      <c r="C770" s="205"/>
      <c r="D770" s="205"/>
      <c r="E770" s="205"/>
      <c r="F770" s="205"/>
    </row>
    <row r="771" ht="13.5" customHeight="1">
      <c r="A771" s="182"/>
      <c r="B771" s="205"/>
      <c r="C771" s="205"/>
      <c r="D771" s="205"/>
      <c r="E771" s="205"/>
      <c r="F771" s="205"/>
    </row>
    <row r="772" ht="13.5" customHeight="1">
      <c r="A772" s="182"/>
      <c r="B772" s="205"/>
      <c r="C772" s="205"/>
      <c r="D772" s="205"/>
      <c r="E772" s="205"/>
      <c r="F772" s="205"/>
    </row>
    <row r="773" ht="13.5" customHeight="1">
      <c r="A773" s="182"/>
      <c r="B773" s="205"/>
      <c r="C773" s="205"/>
      <c r="D773" s="205"/>
      <c r="E773" s="205"/>
      <c r="F773" s="205"/>
    </row>
    <row r="774" ht="13.5" customHeight="1">
      <c r="A774" s="182"/>
      <c r="B774" s="205"/>
      <c r="C774" s="205"/>
      <c r="D774" s="205"/>
      <c r="E774" s="205"/>
      <c r="F774" s="205"/>
    </row>
    <row r="775" ht="13.5" customHeight="1">
      <c r="A775" s="182"/>
      <c r="B775" s="205"/>
      <c r="C775" s="205"/>
      <c r="D775" s="205"/>
      <c r="E775" s="205"/>
      <c r="F775" s="205"/>
    </row>
    <row r="776" ht="13.5" customHeight="1">
      <c r="A776" s="182"/>
      <c r="B776" s="205"/>
      <c r="C776" s="205"/>
      <c r="D776" s="205"/>
      <c r="E776" s="205"/>
      <c r="F776" s="205"/>
    </row>
    <row r="777" ht="13.5" customHeight="1">
      <c r="A777" s="182"/>
      <c r="B777" s="205"/>
      <c r="C777" s="205"/>
      <c r="D777" s="205"/>
      <c r="E777" s="205"/>
      <c r="F777" s="205"/>
    </row>
    <row r="778" ht="13.5" customHeight="1">
      <c r="A778" s="182"/>
      <c r="B778" s="205"/>
      <c r="C778" s="205"/>
      <c r="D778" s="205"/>
      <c r="E778" s="205"/>
      <c r="F778" s="205"/>
    </row>
    <row r="779" ht="13.5" customHeight="1">
      <c r="A779" s="182"/>
      <c r="B779" s="205"/>
      <c r="C779" s="205"/>
      <c r="D779" s="205"/>
      <c r="E779" s="205"/>
      <c r="F779" s="205"/>
    </row>
    <row r="780" ht="13.5" customHeight="1">
      <c r="A780" s="182"/>
      <c r="B780" s="205"/>
      <c r="C780" s="205"/>
      <c r="D780" s="205"/>
      <c r="E780" s="205"/>
      <c r="F780" s="205"/>
    </row>
    <row r="781" ht="13.5" customHeight="1">
      <c r="A781" s="182"/>
      <c r="B781" s="205"/>
      <c r="C781" s="205"/>
      <c r="D781" s="205"/>
      <c r="E781" s="205"/>
      <c r="F781" s="205"/>
    </row>
    <row r="782" ht="13.5" customHeight="1">
      <c r="A782" s="182"/>
      <c r="B782" s="205"/>
      <c r="C782" s="205"/>
      <c r="D782" s="205"/>
      <c r="E782" s="205"/>
      <c r="F782" s="205"/>
    </row>
    <row r="783" ht="13.5" customHeight="1">
      <c r="A783" s="182"/>
      <c r="B783" s="205"/>
      <c r="C783" s="205"/>
      <c r="D783" s="205"/>
      <c r="E783" s="205"/>
      <c r="F783" s="205"/>
    </row>
    <row r="784" ht="13.5" customHeight="1">
      <c r="A784" s="182"/>
      <c r="B784" s="205"/>
      <c r="C784" s="205"/>
      <c r="D784" s="205"/>
      <c r="E784" s="205"/>
      <c r="F784" s="205"/>
    </row>
    <row r="785" ht="13.5" customHeight="1">
      <c r="A785" s="182"/>
      <c r="B785" s="205"/>
      <c r="C785" s="205"/>
      <c r="D785" s="205"/>
      <c r="E785" s="205"/>
      <c r="F785" s="205"/>
    </row>
    <row r="786" ht="13.5" customHeight="1">
      <c r="A786" s="182"/>
      <c r="B786" s="205"/>
      <c r="C786" s="205"/>
      <c r="D786" s="205"/>
      <c r="E786" s="205"/>
      <c r="F786" s="205"/>
    </row>
    <row r="787" ht="13.5" customHeight="1">
      <c r="A787" s="182"/>
      <c r="B787" s="205"/>
      <c r="C787" s="205"/>
      <c r="D787" s="205"/>
      <c r="E787" s="205"/>
      <c r="F787" s="205"/>
    </row>
    <row r="788" ht="13.5" customHeight="1">
      <c r="A788" s="182"/>
      <c r="B788" s="205"/>
      <c r="C788" s="205"/>
      <c r="D788" s="205"/>
      <c r="E788" s="205"/>
      <c r="F788" s="205"/>
    </row>
    <row r="789" ht="13.5" customHeight="1">
      <c r="A789" s="182"/>
      <c r="B789" s="205"/>
      <c r="C789" s="205"/>
      <c r="D789" s="205"/>
      <c r="E789" s="205"/>
      <c r="F789" s="205"/>
    </row>
    <row r="790" ht="13.5" customHeight="1">
      <c r="A790" s="182"/>
      <c r="B790" s="205"/>
      <c r="C790" s="205"/>
      <c r="D790" s="205"/>
      <c r="E790" s="205"/>
      <c r="F790" s="205"/>
    </row>
    <row r="791" ht="13.5" customHeight="1">
      <c r="A791" s="182"/>
      <c r="B791" s="205"/>
      <c r="C791" s="205"/>
      <c r="D791" s="205"/>
      <c r="E791" s="205"/>
      <c r="F791" s="205"/>
    </row>
    <row r="792" ht="13.5" customHeight="1">
      <c r="A792" s="182"/>
      <c r="B792" s="205"/>
      <c r="C792" s="205"/>
      <c r="D792" s="205"/>
      <c r="E792" s="205"/>
      <c r="F792" s="205"/>
    </row>
    <row r="793" ht="13.5" customHeight="1">
      <c r="A793" s="182"/>
      <c r="B793" s="205"/>
      <c r="C793" s="205"/>
      <c r="D793" s="205"/>
      <c r="E793" s="205"/>
      <c r="F793" s="205"/>
    </row>
    <row r="794" ht="13.5" customHeight="1">
      <c r="A794" s="182"/>
      <c r="B794" s="205"/>
      <c r="C794" s="205"/>
      <c r="D794" s="205"/>
      <c r="E794" s="205"/>
      <c r="F794" s="205"/>
    </row>
    <row r="795" ht="13.5" customHeight="1">
      <c r="A795" s="182"/>
      <c r="B795" s="205"/>
      <c r="C795" s="205"/>
      <c r="D795" s="205"/>
      <c r="E795" s="205"/>
      <c r="F795" s="205"/>
    </row>
    <row r="796" ht="13.5" customHeight="1">
      <c r="A796" s="182"/>
      <c r="B796" s="205"/>
      <c r="C796" s="205"/>
      <c r="D796" s="205"/>
      <c r="E796" s="205"/>
      <c r="F796" s="205"/>
    </row>
    <row r="797" ht="13.5" customHeight="1">
      <c r="A797" s="182"/>
      <c r="B797" s="205"/>
      <c r="C797" s="205"/>
      <c r="D797" s="205"/>
      <c r="E797" s="205"/>
      <c r="F797" s="205"/>
    </row>
    <row r="798" ht="13.5" customHeight="1">
      <c r="A798" s="182"/>
      <c r="B798" s="205"/>
      <c r="C798" s="205"/>
      <c r="D798" s="205"/>
      <c r="E798" s="205"/>
      <c r="F798" s="205"/>
    </row>
    <row r="799" ht="13.5" customHeight="1">
      <c r="A799" s="182"/>
      <c r="B799" s="205"/>
      <c r="C799" s="205"/>
      <c r="D799" s="205"/>
      <c r="E799" s="205"/>
      <c r="F799" s="205"/>
    </row>
    <row r="800" ht="13.5" customHeight="1">
      <c r="A800" s="182"/>
      <c r="B800" s="205"/>
      <c r="C800" s="205"/>
      <c r="D800" s="205"/>
      <c r="E800" s="205"/>
      <c r="F800" s="205"/>
    </row>
    <row r="801" ht="13.5" customHeight="1">
      <c r="A801" s="182"/>
      <c r="B801" s="205"/>
      <c r="C801" s="205"/>
      <c r="D801" s="205"/>
      <c r="E801" s="205"/>
      <c r="F801" s="205"/>
    </row>
    <row r="802" ht="13.5" customHeight="1">
      <c r="A802" s="182"/>
      <c r="B802" s="205"/>
      <c r="C802" s="205"/>
      <c r="D802" s="205"/>
      <c r="E802" s="205"/>
      <c r="F802" s="205"/>
    </row>
    <row r="803" ht="13.5" customHeight="1">
      <c r="A803" s="182"/>
      <c r="B803" s="205"/>
      <c r="C803" s="205"/>
      <c r="D803" s="205"/>
      <c r="E803" s="205"/>
      <c r="F803" s="205"/>
    </row>
    <row r="804" ht="13.5" customHeight="1">
      <c r="A804" s="182"/>
      <c r="B804" s="205"/>
      <c r="C804" s="205"/>
      <c r="D804" s="205"/>
      <c r="E804" s="205"/>
      <c r="F804" s="205"/>
    </row>
    <row r="805" ht="13.5" customHeight="1">
      <c r="A805" s="182"/>
      <c r="B805" s="205"/>
      <c r="C805" s="205"/>
      <c r="D805" s="205"/>
      <c r="E805" s="205"/>
      <c r="F805" s="205"/>
    </row>
    <row r="806" ht="13.5" customHeight="1">
      <c r="A806" s="182"/>
      <c r="B806" s="205"/>
      <c r="C806" s="205"/>
      <c r="D806" s="205"/>
      <c r="E806" s="205"/>
      <c r="F806" s="205"/>
    </row>
    <row r="807" ht="13.5" customHeight="1">
      <c r="A807" s="182"/>
      <c r="B807" s="205"/>
      <c r="C807" s="205"/>
      <c r="D807" s="205"/>
      <c r="E807" s="205"/>
      <c r="F807" s="205"/>
    </row>
    <row r="808" ht="13.5" customHeight="1">
      <c r="A808" s="182"/>
      <c r="B808" s="205"/>
      <c r="C808" s="205"/>
      <c r="D808" s="205"/>
      <c r="E808" s="205"/>
      <c r="F808" s="205"/>
    </row>
    <row r="809" ht="13.5" customHeight="1">
      <c r="A809" s="182"/>
      <c r="B809" s="205"/>
      <c r="C809" s="205"/>
      <c r="D809" s="205"/>
      <c r="E809" s="205"/>
      <c r="F809" s="205"/>
    </row>
    <row r="810" ht="13.5" customHeight="1">
      <c r="A810" s="182"/>
      <c r="B810" s="205"/>
      <c r="C810" s="205"/>
      <c r="D810" s="205"/>
      <c r="E810" s="205"/>
      <c r="F810" s="205"/>
    </row>
    <row r="811" ht="13.5" customHeight="1">
      <c r="A811" s="182"/>
      <c r="B811" s="205"/>
      <c r="C811" s="205"/>
      <c r="D811" s="205"/>
      <c r="E811" s="205"/>
      <c r="F811" s="205"/>
    </row>
    <row r="812" ht="13.5" customHeight="1">
      <c r="A812" s="182"/>
      <c r="B812" s="205"/>
      <c r="C812" s="205"/>
      <c r="D812" s="205"/>
      <c r="E812" s="205"/>
      <c r="F812" s="205"/>
    </row>
    <row r="813" ht="13.5" customHeight="1">
      <c r="A813" s="182"/>
      <c r="B813" s="205"/>
      <c r="C813" s="205"/>
      <c r="D813" s="205"/>
      <c r="E813" s="205"/>
      <c r="F813" s="205"/>
    </row>
    <row r="814" ht="13.5" customHeight="1">
      <c r="A814" s="182"/>
      <c r="B814" s="205"/>
      <c r="C814" s="205"/>
      <c r="D814" s="205"/>
      <c r="E814" s="205"/>
      <c r="F814" s="205"/>
    </row>
    <row r="815" ht="13.5" customHeight="1">
      <c r="A815" s="182"/>
      <c r="B815" s="205"/>
      <c r="C815" s="205"/>
      <c r="D815" s="205"/>
      <c r="E815" s="205"/>
      <c r="F815" s="205"/>
    </row>
    <row r="816" ht="13.5" customHeight="1">
      <c r="A816" s="182"/>
      <c r="B816" s="205"/>
      <c r="C816" s="205"/>
      <c r="D816" s="205"/>
      <c r="E816" s="205"/>
      <c r="F816" s="205"/>
    </row>
    <row r="817" ht="13.5" customHeight="1">
      <c r="A817" s="182"/>
      <c r="B817" s="205"/>
      <c r="C817" s="205"/>
      <c r="D817" s="205"/>
      <c r="E817" s="205"/>
      <c r="F817" s="205"/>
    </row>
    <row r="818" ht="13.5" customHeight="1">
      <c r="A818" s="182"/>
      <c r="B818" s="205"/>
      <c r="C818" s="205"/>
      <c r="D818" s="205"/>
      <c r="E818" s="205"/>
      <c r="F818" s="205"/>
    </row>
    <row r="819" ht="13.5" customHeight="1">
      <c r="A819" s="182"/>
      <c r="B819" s="205"/>
      <c r="C819" s="205"/>
      <c r="D819" s="205"/>
      <c r="E819" s="205"/>
      <c r="F819" s="205"/>
    </row>
    <row r="820" ht="13.5" customHeight="1">
      <c r="A820" s="182"/>
      <c r="B820" s="205"/>
      <c r="C820" s="205"/>
      <c r="D820" s="205"/>
      <c r="E820" s="205"/>
      <c r="F820" s="205"/>
    </row>
    <row r="821" ht="13.5" customHeight="1">
      <c r="A821" s="182"/>
      <c r="B821" s="205"/>
      <c r="C821" s="205"/>
      <c r="D821" s="205"/>
      <c r="E821" s="205"/>
      <c r="F821" s="205"/>
    </row>
    <row r="822" ht="13.5" customHeight="1">
      <c r="A822" s="182"/>
      <c r="B822" s="205"/>
      <c r="C822" s="205"/>
      <c r="D822" s="205"/>
      <c r="E822" s="205"/>
      <c r="F822" s="205"/>
    </row>
    <row r="823" ht="13.5" customHeight="1">
      <c r="A823" s="182"/>
      <c r="B823" s="205"/>
      <c r="C823" s="205"/>
      <c r="D823" s="205"/>
      <c r="E823" s="205"/>
      <c r="F823" s="205"/>
    </row>
    <row r="824" ht="13.5" customHeight="1">
      <c r="A824" s="182"/>
      <c r="B824" s="205"/>
      <c r="C824" s="205"/>
      <c r="D824" s="205"/>
      <c r="E824" s="205"/>
      <c r="F824" s="205"/>
    </row>
    <row r="825" ht="13.5" customHeight="1">
      <c r="A825" s="182"/>
      <c r="B825" s="205"/>
      <c r="C825" s="205"/>
      <c r="D825" s="205"/>
      <c r="E825" s="205"/>
      <c r="F825" s="205"/>
    </row>
    <row r="826" ht="13.5" customHeight="1">
      <c r="A826" s="182"/>
      <c r="B826" s="205"/>
      <c r="C826" s="205"/>
      <c r="D826" s="205"/>
      <c r="E826" s="205"/>
      <c r="F826" s="205"/>
    </row>
    <row r="827" ht="13.5" customHeight="1">
      <c r="A827" s="182"/>
      <c r="B827" s="205"/>
      <c r="C827" s="205"/>
      <c r="D827" s="205"/>
      <c r="E827" s="205"/>
      <c r="F827" s="205"/>
    </row>
    <row r="828" ht="13.5" customHeight="1">
      <c r="A828" s="182"/>
      <c r="B828" s="205"/>
      <c r="C828" s="205"/>
      <c r="D828" s="205"/>
      <c r="E828" s="205"/>
      <c r="F828" s="205"/>
    </row>
    <row r="829" ht="13.5" customHeight="1">
      <c r="A829" s="182"/>
      <c r="B829" s="205"/>
      <c r="C829" s="205"/>
      <c r="D829" s="205"/>
      <c r="E829" s="205"/>
      <c r="F829" s="205"/>
    </row>
    <row r="830" ht="13.5" customHeight="1">
      <c r="A830" s="182"/>
      <c r="B830" s="205"/>
      <c r="C830" s="205"/>
      <c r="D830" s="205"/>
      <c r="E830" s="205"/>
      <c r="F830" s="205"/>
    </row>
    <row r="831" ht="13.5" customHeight="1">
      <c r="A831" s="182"/>
      <c r="B831" s="205"/>
      <c r="C831" s="205"/>
      <c r="D831" s="205"/>
      <c r="E831" s="205"/>
      <c r="F831" s="205"/>
    </row>
    <row r="832" ht="13.5" customHeight="1">
      <c r="A832" s="182"/>
      <c r="B832" s="205"/>
      <c r="C832" s="205"/>
      <c r="D832" s="205"/>
      <c r="E832" s="205"/>
      <c r="F832" s="205"/>
    </row>
    <row r="833" ht="13.5" customHeight="1">
      <c r="A833" s="182"/>
      <c r="B833" s="205"/>
      <c r="C833" s="205"/>
      <c r="D833" s="205"/>
      <c r="E833" s="205"/>
      <c r="F833" s="205"/>
    </row>
    <row r="834" ht="13.5" customHeight="1">
      <c r="A834" s="182"/>
      <c r="B834" s="205"/>
      <c r="C834" s="205"/>
      <c r="D834" s="205"/>
      <c r="E834" s="205"/>
      <c r="F834" s="205"/>
    </row>
    <row r="835" ht="13.5" customHeight="1">
      <c r="A835" s="182"/>
      <c r="B835" s="205"/>
      <c r="C835" s="205"/>
      <c r="D835" s="205"/>
      <c r="E835" s="205"/>
      <c r="F835" s="205"/>
    </row>
    <row r="836" ht="13.5" customHeight="1">
      <c r="A836" s="182"/>
      <c r="B836" s="205"/>
      <c r="C836" s="205"/>
      <c r="D836" s="205"/>
      <c r="E836" s="205"/>
      <c r="F836" s="205"/>
    </row>
    <row r="837" ht="13.5" customHeight="1">
      <c r="A837" s="182"/>
      <c r="B837" s="205"/>
      <c r="C837" s="205"/>
      <c r="D837" s="205"/>
      <c r="E837" s="205"/>
      <c r="F837" s="205"/>
    </row>
    <row r="838" ht="13.5" customHeight="1">
      <c r="A838" s="182"/>
      <c r="B838" s="205"/>
      <c r="C838" s="205"/>
      <c r="D838" s="205"/>
      <c r="E838" s="205"/>
      <c r="F838" s="205"/>
    </row>
    <row r="839" ht="13.5" customHeight="1">
      <c r="A839" s="182"/>
      <c r="B839" s="205"/>
      <c r="C839" s="205"/>
      <c r="D839" s="205"/>
      <c r="E839" s="205"/>
      <c r="F839" s="205"/>
    </row>
    <row r="840" ht="13.5" customHeight="1">
      <c r="A840" s="182"/>
      <c r="B840" s="205"/>
      <c r="C840" s="205"/>
      <c r="D840" s="205"/>
      <c r="E840" s="205"/>
      <c r="F840" s="205"/>
    </row>
    <row r="841" ht="13.5" customHeight="1">
      <c r="A841" s="182"/>
      <c r="B841" s="205"/>
      <c r="C841" s="205"/>
      <c r="D841" s="205"/>
      <c r="E841" s="205"/>
      <c r="F841" s="205"/>
    </row>
    <row r="842" ht="13.5" customHeight="1">
      <c r="A842" s="182"/>
      <c r="B842" s="205"/>
      <c r="C842" s="205"/>
      <c r="D842" s="205"/>
      <c r="E842" s="205"/>
      <c r="F842" s="205"/>
    </row>
    <row r="843" ht="13.5" customHeight="1">
      <c r="A843" s="182"/>
      <c r="B843" s="205"/>
      <c r="C843" s="205"/>
      <c r="D843" s="205"/>
      <c r="E843" s="205"/>
      <c r="F843" s="205"/>
    </row>
    <row r="844" ht="13.5" customHeight="1">
      <c r="A844" s="182"/>
      <c r="B844" s="205"/>
      <c r="C844" s="205"/>
      <c r="D844" s="205"/>
      <c r="E844" s="205"/>
      <c r="F844" s="205"/>
    </row>
    <row r="845" ht="13.5" customHeight="1">
      <c r="A845" s="182"/>
      <c r="B845" s="205"/>
      <c r="C845" s="205"/>
      <c r="D845" s="205"/>
      <c r="E845" s="205"/>
      <c r="F845" s="205"/>
    </row>
    <row r="846" ht="13.5" customHeight="1">
      <c r="A846" s="182"/>
      <c r="B846" s="205"/>
      <c r="C846" s="205"/>
      <c r="D846" s="205"/>
      <c r="E846" s="205"/>
      <c r="F846" s="205"/>
    </row>
    <row r="847" ht="13.5" customHeight="1">
      <c r="A847" s="182"/>
      <c r="B847" s="205"/>
      <c r="C847" s="205"/>
      <c r="D847" s="205"/>
      <c r="E847" s="205"/>
      <c r="F847" s="205"/>
    </row>
    <row r="848" ht="13.5" customHeight="1">
      <c r="A848" s="182"/>
      <c r="B848" s="205"/>
      <c r="C848" s="205"/>
      <c r="D848" s="205"/>
      <c r="E848" s="205"/>
      <c r="F848" s="205"/>
    </row>
    <row r="849" ht="13.5" customHeight="1">
      <c r="A849" s="182"/>
      <c r="B849" s="205"/>
      <c r="C849" s="205"/>
      <c r="D849" s="205"/>
      <c r="E849" s="205"/>
      <c r="F849" s="205"/>
    </row>
    <row r="850" ht="13.5" customHeight="1">
      <c r="A850" s="182"/>
      <c r="B850" s="205"/>
      <c r="C850" s="205"/>
      <c r="D850" s="205"/>
      <c r="E850" s="205"/>
      <c r="F850" s="205"/>
    </row>
    <row r="851" ht="13.5" customHeight="1">
      <c r="A851" s="182"/>
      <c r="B851" s="205"/>
      <c r="C851" s="205"/>
      <c r="D851" s="205"/>
      <c r="E851" s="205"/>
      <c r="F851" s="205"/>
    </row>
    <row r="852" ht="13.5" customHeight="1">
      <c r="A852" s="182"/>
      <c r="B852" s="205"/>
      <c r="C852" s="205"/>
      <c r="D852" s="205"/>
      <c r="E852" s="205"/>
      <c r="F852" s="205"/>
    </row>
    <row r="853" ht="13.5" customHeight="1">
      <c r="A853" s="182"/>
      <c r="B853" s="205"/>
      <c r="C853" s="205"/>
      <c r="D853" s="205"/>
      <c r="E853" s="205"/>
      <c r="F853" s="205"/>
    </row>
    <row r="854" ht="13.5" customHeight="1">
      <c r="A854" s="182"/>
      <c r="B854" s="205"/>
      <c r="C854" s="205"/>
      <c r="D854" s="205"/>
      <c r="E854" s="205"/>
      <c r="F854" s="205"/>
    </row>
    <row r="855" ht="13.5" customHeight="1">
      <c r="A855" s="182"/>
      <c r="B855" s="205"/>
      <c r="C855" s="205"/>
      <c r="D855" s="205"/>
      <c r="E855" s="205"/>
      <c r="F855" s="205"/>
    </row>
    <row r="856" ht="13.5" customHeight="1">
      <c r="A856" s="182"/>
      <c r="B856" s="205"/>
      <c r="C856" s="205"/>
      <c r="D856" s="205"/>
      <c r="E856" s="205"/>
      <c r="F856" s="205"/>
    </row>
    <row r="857" ht="13.5" customHeight="1">
      <c r="A857" s="182"/>
      <c r="B857" s="205"/>
      <c r="C857" s="205"/>
      <c r="D857" s="205"/>
      <c r="E857" s="205"/>
      <c r="F857" s="205"/>
    </row>
    <row r="858" ht="13.5" customHeight="1">
      <c r="A858" s="182"/>
      <c r="B858" s="205"/>
      <c r="C858" s="205"/>
      <c r="D858" s="205"/>
      <c r="E858" s="205"/>
      <c r="F858" s="205"/>
    </row>
    <row r="859" ht="13.5" customHeight="1">
      <c r="A859" s="182"/>
      <c r="B859" s="205"/>
      <c r="C859" s="205"/>
      <c r="D859" s="205"/>
      <c r="E859" s="205"/>
      <c r="F859" s="205"/>
    </row>
    <row r="860" ht="13.5" customHeight="1">
      <c r="A860" s="182"/>
      <c r="B860" s="205"/>
      <c r="C860" s="205"/>
      <c r="D860" s="205"/>
      <c r="E860" s="205"/>
      <c r="F860" s="205"/>
    </row>
    <row r="861" ht="13.5" customHeight="1">
      <c r="A861" s="182"/>
      <c r="B861" s="205"/>
      <c r="C861" s="205"/>
      <c r="D861" s="205"/>
      <c r="E861" s="205"/>
      <c r="F861" s="205"/>
    </row>
    <row r="862" ht="13.5" customHeight="1">
      <c r="A862" s="182"/>
      <c r="B862" s="205"/>
      <c r="C862" s="205"/>
      <c r="D862" s="205"/>
      <c r="E862" s="205"/>
      <c r="F862" s="205"/>
    </row>
    <row r="863" ht="13.5" customHeight="1">
      <c r="A863" s="182"/>
      <c r="B863" s="205"/>
      <c r="C863" s="205"/>
      <c r="D863" s="205"/>
      <c r="E863" s="205"/>
      <c r="F863" s="205"/>
    </row>
    <row r="864" ht="13.5" customHeight="1">
      <c r="A864" s="182"/>
      <c r="B864" s="205"/>
      <c r="C864" s="205"/>
      <c r="D864" s="205"/>
      <c r="E864" s="205"/>
      <c r="F864" s="205"/>
    </row>
    <row r="865" ht="13.5" customHeight="1">
      <c r="A865" s="182"/>
      <c r="B865" s="205"/>
      <c r="C865" s="205"/>
      <c r="D865" s="205"/>
      <c r="E865" s="205"/>
      <c r="F865" s="205"/>
    </row>
    <row r="866" ht="13.5" customHeight="1">
      <c r="A866" s="182"/>
      <c r="B866" s="205"/>
      <c r="C866" s="205"/>
      <c r="D866" s="205"/>
      <c r="E866" s="205"/>
      <c r="F866" s="205"/>
    </row>
    <row r="867" ht="13.5" customHeight="1">
      <c r="A867" s="182"/>
      <c r="B867" s="205"/>
      <c r="C867" s="205"/>
      <c r="D867" s="205"/>
      <c r="E867" s="205"/>
      <c r="F867" s="205"/>
    </row>
    <row r="868" ht="13.5" customHeight="1">
      <c r="A868" s="182"/>
      <c r="B868" s="205"/>
      <c r="C868" s="205"/>
      <c r="D868" s="205"/>
      <c r="E868" s="205"/>
      <c r="F868" s="205"/>
    </row>
    <row r="869" ht="13.5" customHeight="1">
      <c r="A869" s="182"/>
      <c r="B869" s="205"/>
      <c r="C869" s="205"/>
      <c r="D869" s="205"/>
      <c r="E869" s="205"/>
      <c r="F869" s="205"/>
    </row>
    <row r="870" ht="13.5" customHeight="1">
      <c r="A870" s="182"/>
      <c r="B870" s="205"/>
      <c r="C870" s="205"/>
      <c r="D870" s="205"/>
      <c r="E870" s="205"/>
      <c r="F870" s="205"/>
    </row>
    <row r="871" ht="13.5" customHeight="1">
      <c r="A871" s="182"/>
      <c r="B871" s="205"/>
      <c r="C871" s="205"/>
      <c r="D871" s="205"/>
      <c r="E871" s="205"/>
      <c r="F871" s="205"/>
    </row>
    <row r="872" ht="13.5" customHeight="1">
      <c r="A872" s="182"/>
      <c r="B872" s="205"/>
      <c r="C872" s="205"/>
      <c r="D872" s="205"/>
      <c r="E872" s="205"/>
      <c r="F872" s="205"/>
    </row>
    <row r="873" ht="13.5" customHeight="1">
      <c r="A873" s="182"/>
      <c r="B873" s="205"/>
      <c r="C873" s="205"/>
      <c r="D873" s="205"/>
      <c r="E873" s="205"/>
      <c r="F873" s="205"/>
    </row>
    <row r="874" ht="13.5" customHeight="1">
      <c r="A874" s="182"/>
      <c r="B874" s="205"/>
      <c r="C874" s="205"/>
      <c r="D874" s="205"/>
      <c r="E874" s="205"/>
      <c r="F874" s="205"/>
    </row>
    <row r="875" ht="13.5" customHeight="1">
      <c r="A875" s="182"/>
      <c r="B875" s="205"/>
      <c r="C875" s="205"/>
      <c r="D875" s="205"/>
      <c r="E875" s="205"/>
      <c r="F875" s="205"/>
    </row>
    <row r="876" ht="13.5" customHeight="1">
      <c r="A876" s="182"/>
      <c r="B876" s="205"/>
      <c r="C876" s="205"/>
      <c r="D876" s="205"/>
      <c r="E876" s="205"/>
      <c r="F876" s="205"/>
    </row>
    <row r="877" ht="13.5" customHeight="1">
      <c r="A877" s="182"/>
      <c r="B877" s="205"/>
      <c r="C877" s="205"/>
      <c r="D877" s="205"/>
      <c r="E877" s="205"/>
      <c r="F877" s="205"/>
    </row>
    <row r="878" ht="13.5" customHeight="1">
      <c r="A878" s="182"/>
      <c r="B878" s="205"/>
      <c r="C878" s="205"/>
      <c r="D878" s="205"/>
      <c r="E878" s="205"/>
      <c r="F878" s="205"/>
    </row>
    <row r="879" ht="13.5" customHeight="1">
      <c r="A879" s="182"/>
      <c r="B879" s="205"/>
      <c r="C879" s="205"/>
      <c r="D879" s="205"/>
      <c r="E879" s="205"/>
      <c r="F879" s="205"/>
    </row>
    <row r="880" ht="13.5" customHeight="1">
      <c r="A880" s="182"/>
      <c r="B880" s="205"/>
      <c r="C880" s="205"/>
      <c r="D880" s="205"/>
      <c r="E880" s="205"/>
      <c r="F880" s="205"/>
    </row>
    <row r="881" ht="13.5" customHeight="1">
      <c r="A881" s="182"/>
      <c r="B881" s="205"/>
      <c r="C881" s="205"/>
      <c r="D881" s="205"/>
      <c r="E881" s="205"/>
      <c r="F881" s="205"/>
    </row>
    <row r="882" ht="13.5" customHeight="1">
      <c r="A882" s="182"/>
      <c r="B882" s="205"/>
      <c r="C882" s="205"/>
      <c r="D882" s="205"/>
      <c r="E882" s="205"/>
      <c r="F882" s="205"/>
    </row>
    <row r="883" ht="13.5" customHeight="1">
      <c r="A883" s="182"/>
      <c r="B883" s="205"/>
      <c r="C883" s="205"/>
      <c r="D883" s="205"/>
      <c r="E883" s="205"/>
      <c r="F883" s="205"/>
    </row>
    <row r="884" ht="13.5" customHeight="1">
      <c r="A884" s="182"/>
      <c r="B884" s="205"/>
      <c r="C884" s="205"/>
      <c r="D884" s="205"/>
      <c r="E884" s="205"/>
      <c r="F884" s="205"/>
    </row>
    <row r="885" ht="13.5" customHeight="1">
      <c r="A885" s="182"/>
      <c r="B885" s="205"/>
      <c r="C885" s="205"/>
      <c r="D885" s="205"/>
      <c r="E885" s="205"/>
      <c r="F885" s="205"/>
    </row>
    <row r="886" ht="13.5" customHeight="1">
      <c r="A886" s="182"/>
      <c r="B886" s="205"/>
      <c r="C886" s="205"/>
      <c r="D886" s="205"/>
      <c r="E886" s="205"/>
      <c r="F886" s="205"/>
    </row>
    <row r="887" ht="13.5" customHeight="1">
      <c r="A887" s="182"/>
      <c r="B887" s="205"/>
      <c r="C887" s="205"/>
      <c r="D887" s="205"/>
      <c r="E887" s="205"/>
      <c r="F887" s="205"/>
    </row>
    <row r="888" ht="13.5" customHeight="1">
      <c r="A888" s="182"/>
      <c r="B888" s="205"/>
      <c r="C888" s="205"/>
      <c r="D888" s="205"/>
      <c r="E888" s="205"/>
      <c r="F888" s="205"/>
    </row>
    <row r="889" ht="13.5" customHeight="1">
      <c r="A889" s="182"/>
      <c r="B889" s="205"/>
      <c r="C889" s="205"/>
      <c r="D889" s="205"/>
      <c r="E889" s="205"/>
      <c r="F889" s="205"/>
    </row>
    <row r="890" ht="13.5" customHeight="1">
      <c r="A890" s="182"/>
      <c r="B890" s="205"/>
      <c r="C890" s="205"/>
      <c r="D890" s="205"/>
      <c r="E890" s="205"/>
      <c r="F890" s="205"/>
    </row>
    <row r="891" ht="13.5" customHeight="1">
      <c r="A891" s="182"/>
      <c r="B891" s="205"/>
      <c r="C891" s="205"/>
      <c r="D891" s="205"/>
      <c r="E891" s="205"/>
      <c r="F891" s="205"/>
    </row>
    <row r="892" ht="13.5" customHeight="1">
      <c r="A892" s="182"/>
      <c r="B892" s="205"/>
      <c r="C892" s="205"/>
      <c r="D892" s="205"/>
      <c r="E892" s="205"/>
      <c r="F892" s="205"/>
    </row>
    <row r="893" ht="13.5" customHeight="1">
      <c r="A893" s="182"/>
      <c r="B893" s="205"/>
      <c r="C893" s="205"/>
      <c r="D893" s="205"/>
      <c r="E893" s="205"/>
      <c r="F893" s="205"/>
    </row>
    <row r="894" ht="13.5" customHeight="1">
      <c r="A894" s="182"/>
      <c r="B894" s="205"/>
      <c r="C894" s="205"/>
      <c r="D894" s="205"/>
      <c r="E894" s="205"/>
      <c r="F894" s="205"/>
    </row>
    <row r="895" ht="13.5" customHeight="1">
      <c r="A895" s="182"/>
      <c r="B895" s="205"/>
      <c r="C895" s="205"/>
      <c r="D895" s="205"/>
      <c r="E895" s="205"/>
      <c r="F895" s="205"/>
    </row>
    <row r="896" ht="13.5" customHeight="1">
      <c r="A896" s="182"/>
      <c r="B896" s="205"/>
      <c r="C896" s="205"/>
      <c r="D896" s="205"/>
      <c r="E896" s="205"/>
      <c r="F896" s="205"/>
    </row>
    <row r="897" ht="13.5" customHeight="1">
      <c r="A897" s="182"/>
      <c r="B897" s="205"/>
      <c r="C897" s="205"/>
      <c r="D897" s="205"/>
      <c r="E897" s="205"/>
      <c r="F897" s="205"/>
    </row>
    <row r="898" ht="13.5" customHeight="1">
      <c r="A898" s="182"/>
      <c r="B898" s="205"/>
      <c r="C898" s="205"/>
      <c r="D898" s="205"/>
      <c r="E898" s="205"/>
      <c r="F898" s="205"/>
    </row>
    <row r="899" ht="13.5" customHeight="1">
      <c r="A899" s="182"/>
      <c r="B899" s="205"/>
      <c r="C899" s="205"/>
      <c r="D899" s="205"/>
      <c r="E899" s="205"/>
      <c r="F899" s="205"/>
    </row>
    <row r="900" ht="13.5" customHeight="1">
      <c r="A900" s="182"/>
      <c r="B900" s="205"/>
      <c r="C900" s="205"/>
      <c r="D900" s="205"/>
      <c r="E900" s="205"/>
      <c r="F900" s="205"/>
    </row>
    <row r="901" ht="13.5" customHeight="1">
      <c r="A901" s="182"/>
      <c r="B901" s="205"/>
      <c r="C901" s="205"/>
      <c r="D901" s="205"/>
      <c r="E901" s="205"/>
      <c r="F901" s="205"/>
    </row>
    <row r="902" ht="13.5" customHeight="1">
      <c r="A902" s="182"/>
      <c r="B902" s="205"/>
      <c r="C902" s="205"/>
      <c r="D902" s="205"/>
      <c r="E902" s="205"/>
      <c r="F902" s="205"/>
    </row>
    <row r="903" ht="13.5" customHeight="1">
      <c r="A903" s="182"/>
      <c r="B903" s="205"/>
      <c r="C903" s="205"/>
      <c r="D903" s="205"/>
      <c r="E903" s="205"/>
      <c r="F903" s="205"/>
    </row>
    <row r="904" ht="13.5" customHeight="1">
      <c r="A904" s="182"/>
      <c r="B904" s="205"/>
      <c r="C904" s="205"/>
      <c r="D904" s="205"/>
      <c r="E904" s="205"/>
      <c r="F904" s="205"/>
    </row>
    <row r="905" ht="13.5" customHeight="1">
      <c r="A905" s="182"/>
      <c r="B905" s="205"/>
      <c r="C905" s="205"/>
      <c r="D905" s="205"/>
      <c r="E905" s="205"/>
      <c r="F905" s="205"/>
    </row>
    <row r="906" ht="13.5" customHeight="1">
      <c r="A906" s="182"/>
      <c r="B906" s="205"/>
      <c r="C906" s="205"/>
      <c r="D906" s="205"/>
      <c r="E906" s="205"/>
      <c r="F906" s="205"/>
    </row>
    <row r="907" ht="13.5" customHeight="1">
      <c r="A907" s="182"/>
      <c r="B907" s="205"/>
      <c r="C907" s="205"/>
      <c r="D907" s="205"/>
      <c r="E907" s="205"/>
      <c r="F907" s="205"/>
    </row>
    <row r="908" ht="13.5" customHeight="1">
      <c r="A908" s="182"/>
      <c r="B908" s="205"/>
      <c r="C908" s="205"/>
      <c r="D908" s="205"/>
      <c r="E908" s="205"/>
      <c r="F908" s="205"/>
    </row>
    <row r="909" ht="13.5" customHeight="1">
      <c r="A909" s="182"/>
      <c r="B909" s="205"/>
      <c r="C909" s="205"/>
      <c r="D909" s="205"/>
      <c r="E909" s="205"/>
      <c r="F909" s="205"/>
    </row>
    <row r="910" ht="13.5" customHeight="1">
      <c r="A910" s="182"/>
      <c r="B910" s="205"/>
      <c r="C910" s="205"/>
      <c r="D910" s="205"/>
      <c r="E910" s="205"/>
      <c r="F910" s="205"/>
    </row>
    <row r="911" ht="13.5" customHeight="1">
      <c r="A911" s="182"/>
      <c r="B911" s="205"/>
      <c r="C911" s="205"/>
      <c r="D911" s="205"/>
      <c r="E911" s="205"/>
      <c r="F911" s="205"/>
    </row>
    <row r="912" ht="13.5" customHeight="1">
      <c r="A912" s="182"/>
      <c r="B912" s="205"/>
      <c r="C912" s="205"/>
      <c r="D912" s="205"/>
      <c r="E912" s="205"/>
      <c r="F912" s="205"/>
    </row>
    <row r="913" ht="13.5" customHeight="1">
      <c r="A913" s="182"/>
      <c r="B913" s="205"/>
      <c r="C913" s="205"/>
      <c r="D913" s="205"/>
      <c r="E913" s="205"/>
      <c r="F913" s="205"/>
    </row>
    <row r="914" ht="13.5" customHeight="1">
      <c r="A914" s="182"/>
      <c r="B914" s="205"/>
      <c r="C914" s="205"/>
      <c r="D914" s="205"/>
      <c r="E914" s="205"/>
      <c r="F914" s="205"/>
    </row>
    <row r="915" ht="13.5" customHeight="1">
      <c r="A915" s="182"/>
      <c r="B915" s="205"/>
      <c r="C915" s="205"/>
      <c r="D915" s="205"/>
      <c r="E915" s="205"/>
      <c r="F915" s="205"/>
    </row>
    <row r="916" ht="13.5" customHeight="1">
      <c r="A916" s="182"/>
      <c r="B916" s="205"/>
      <c r="C916" s="205"/>
      <c r="D916" s="205"/>
      <c r="E916" s="205"/>
      <c r="F916" s="205"/>
    </row>
    <row r="917" ht="13.5" customHeight="1">
      <c r="A917" s="182"/>
      <c r="B917" s="205"/>
      <c r="C917" s="205"/>
      <c r="D917" s="205"/>
      <c r="E917" s="205"/>
      <c r="F917" s="205"/>
    </row>
    <row r="918" ht="13.5" customHeight="1">
      <c r="A918" s="182"/>
      <c r="B918" s="205"/>
      <c r="C918" s="205"/>
      <c r="D918" s="205"/>
      <c r="E918" s="205"/>
      <c r="F918" s="205"/>
    </row>
    <row r="919" ht="13.5" customHeight="1">
      <c r="A919" s="182"/>
      <c r="B919" s="205"/>
      <c r="C919" s="205"/>
      <c r="D919" s="205"/>
      <c r="E919" s="205"/>
      <c r="F919" s="205"/>
    </row>
    <row r="920" ht="13.5" customHeight="1">
      <c r="A920" s="182"/>
      <c r="B920" s="205"/>
      <c r="C920" s="205"/>
      <c r="D920" s="205"/>
      <c r="E920" s="205"/>
      <c r="F920" s="205"/>
    </row>
    <row r="921" ht="13.5" customHeight="1">
      <c r="A921" s="182"/>
      <c r="B921" s="205"/>
      <c r="C921" s="205"/>
      <c r="D921" s="205"/>
      <c r="E921" s="205"/>
      <c r="F921" s="205"/>
    </row>
    <row r="922" ht="13.5" customHeight="1">
      <c r="A922" s="182"/>
      <c r="B922" s="205"/>
      <c r="C922" s="205"/>
      <c r="D922" s="205"/>
      <c r="E922" s="205"/>
      <c r="F922" s="205"/>
    </row>
    <row r="923" ht="13.5" customHeight="1">
      <c r="A923" s="182"/>
      <c r="B923" s="205"/>
      <c r="C923" s="205"/>
      <c r="D923" s="205"/>
      <c r="E923" s="205"/>
      <c r="F923" s="205"/>
    </row>
    <row r="924" ht="13.5" customHeight="1">
      <c r="A924" s="182"/>
      <c r="B924" s="205"/>
      <c r="C924" s="205"/>
      <c r="D924" s="205"/>
      <c r="E924" s="205"/>
      <c r="F924" s="205"/>
    </row>
    <row r="925" ht="13.5" customHeight="1">
      <c r="A925" s="182"/>
      <c r="B925" s="205"/>
      <c r="C925" s="205"/>
      <c r="D925" s="205"/>
      <c r="E925" s="205"/>
      <c r="F925" s="205"/>
    </row>
    <row r="926" ht="13.5" customHeight="1">
      <c r="A926" s="182"/>
      <c r="B926" s="205"/>
      <c r="C926" s="205"/>
      <c r="D926" s="205"/>
      <c r="E926" s="205"/>
      <c r="F926" s="205"/>
    </row>
    <row r="927" ht="13.5" customHeight="1">
      <c r="A927" s="182"/>
      <c r="B927" s="205"/>
      <c r="C927" s="205"/>
      <c r="D927" s="205"/>
      <c r="E927" s="205"/>
      <c r="F927" s="205"/>
    </row>
    <row r="928" ht="13.5" customHeight="1">
      <c r="A928" s="182"/>
      <c r="B928" s="205"/>
      <c r="C928" s="205"/>
      <c r="D928" s="205"/>
      <c r="E928" s="205"/>
      <c r="F928" s="205"/>
    </row>
    <row r="929" ht="13.5" customHeight="1">
      <c r="A929" s="182"/>
      <c r="B929" s="205"/>
      <c r="C929" s="205"/>
      <c r="D929" s="205"/>
      <c r="E929" s="205"/>
      <c r="F929" s="205"/>
    </row>
    <row r="930" ht="13.5" customHeight="1">
      <c r="A930" s="182"/>
      <c r="B930" s="205"/>
      <c r="C930" s="205"/>
      <c r="D930" s="205"/>
      <c r="E930" s="205"/>
      <c r="F930" s="205"/>
    </row>
    <row r="931" ht="13.5" customHeight="1">
      <c r="A931" s="182"/>
      <c r="B931" s="205"/>
      <c r="C931" s="205"/>
      <c r="D931" s="205"/>
      <c r="E931" s="205"/>
      <c r="F931" s="205"/>
    </row>
    <row r="932" ht="13.5" customHeight="1">
      <c r="A932" s="182"/>
      <c r="B932" s="205"/>
      <c r="C932" s="205"/>
      <c r="D932" s="205"/>
      <c r="E932" s="205"/>
      <c r="F932" s="205"/>
    </row>
    <row r="933" ht="13.5" customHeight="1">
      <c r="A933" s="182"/>
      <c r="B933" s="205"/>
      <c r="C933" s="205"/>
      <c r="D933" s="205"/>
      <c r="E933" s="205"/>
      <c r="F933" s="205"/>
    </row>
    <row r="934" ht="13.5" customHeight="1">
      <c r="A934" s="182"/>
      <c r="B934" s="205"/>
      <c r="C934" s="205"/>
      <c r="D934" s="205"/>
      <c r="E934" s="205"/>
      <c r="F934" s="205"/>
    </row>
    <row r="935" ht="13.5" customHeight="1">
      <c r="A935" s="182"/>
      <c r="B935" s="205"/>
      <c r="C935" s="205"/>
      <c r="D935" s="205"/>
      <c r="E935" s="205"/>
      <c r="F935" s="205"/>
    </row>
    <row r="936" ht="13.5" customHeight="1">
      <c r="A936" s="182"/>
      <c r="B936" s="205"/>
      <c r="C936" s="205"/>
      <c r="D936" s="205"/>
      <c r="E936" s="205"/>
      <c r="F936" s="205"/>
    </row>
    <row r="937" ht="13.5" customHeight="1">
      <c r="A937" s="182"/>
      <c r="B937" s="205"/>
      <c r="C937" s="205"/>
      <c r="D937" s="205"/>
      <c r="E937" s="205"/>
      <c r="F937" s="205"/>
    </row>
    <row r="938" ht="13.5" customHeight="1">
      <c r="A938" s="182"/>
      <c r="B938" s="205"/>
      <c r="C938" s="205"/>
      <c r="D938" s="205"/>
      <c r="E938" s="205"/>
      <c r="F938" s="205"/>
    </row>
    <row r="939" ht="13.5" customHeight="1">
      <c r="A939" s="182"/>
      <c r="B939" s="205"/>
      <c r="C939" s="205"/>
      <c r="D939" s="205"/>
      <c r="E939" s="205"/>
      <c r="F939" s="205"/>
    </row>
    <row r="940" ht="13.5" customHeight="1">
      <c r="A940" s="182"/>
      <c r="B940" s="205"/>
      <c r="C940" s="205"/>
      <c r="D940" s="205"/>
      <c r="E940" s="205"/>
      <c r="F940" s="205"/>
    </row>
    <row r="941" ht="13.5" customHeight="1">
      <c r="A941" s="182"/>
      <c r="B941" s="205"/>
      <c r="C941" s="205"/>
      <c r="D941" s="205"/>
      <c r="E941" s="205"/>
      <c r="F941" s="205"/>
    </row>
    <row r="942" ht="13.5" customHeight="1">
      <c r="A942" s="182"/>
      <c r="B942" s="205"/>
      <c r="C942" s="205"/>
      <c r="D942" s="205"/>
      <c r="E942" s="205"/>
      <c r="F942" s="205"/>
    </row>
    <row r="943" ht="13.5" customHeight="1">
      <c r="A943" s="182"/>
      <c r="B943" s="205"/>
      <c r="C943" s="205"/>
      <c r="D943" s="205"/>
      <c r="E943" s="205"/>
      <c r="F943" s="205"/>
    </row>
    <row r="944" ht="13.5" customHeight="1">
      <c r="A944" s="182"/>
      <c r="B944" s="205"/>
      <c r="C944" s="205"/>
      <c r="D944" s="205"/>
      <c r="E944" s="205"/>
      <c r="F944" s="205"/>
    </row>
    <row r="945" ht="13.5" customHeight="1">
      <c r="A945" s="182"/>
      <c r="B945" s="205"/>
      <c r="C945" s="205"/>
      <c r="D945" s="205"/>
      <c r="E945" s="205"/>
      <c r="F945" s="205"/>
    </row>
    <row r="946" ht="13.5" customHeight="1">
      <c r="A946" s="182"/>
      <c r="B946" s="205"/>
      <c r="C946" s="205"/>
      <c r="D946" s="205"/>
      <c r="E946" s="205"/>
      <c r="F946" s="205"/>
    </row>
    <row r="947" ht="13.5" customHeight="1">
      <c r="A947" s="182"/>
      <c r="B947" s="205"/>
      <c r="C947" s="205"/>
      <c r="D947" s="205"/>
      <c r="E947" s="205"/>
      <c r="F947" s="205"/>
    </row>
    <row r="948" ht="13.5" customHeight="1">
      <c r="A948" s="182"/>
      <c r="B948" s="205"/>
      <c r="C948" s="205"/>
      <c r="D948" s="205"/>
      <c r="E948" s="205"/>
      <c r="F948" s="205"/>
    </row>
    <row r="949" ht="13.5" customHeight="1">
      <c r="A949" s="182"/>
      <c r="B949" s="205"/>
      <c r="C949" s="205"/>
      <c r="D949" s="205"/>
      <c r="E949" s="205"/>
      <c r="F949" s="205"/>
    </row>
    <row r="950" ht="13.5" customHeight="1">
      <c r="A950" s="182"/>
      <c r="B950" s="205"/>
      <c r="C950" s="205"/>
      <c r="D950" s="205"/>
      <c r="E950" s="205"/>
      <c r="F950" s="205"/>
    </row>
    <row r="951" ht="13.5" customHeight="1">
      <c r="A951" s="182"/>
      <c r="B951" s="205"/>
      <c r="C951" s="205"/>
      <c r="D951" s="205"/>
      <c r="E951" s="205"/>
      <c r="F951" s="205"/>
    </row>
    <row r="952" ht="13.5" customHeight="1">
      <c r="A952" s="182"/>
      <c r="B952" s="205"/>
      <c r="C952" s="205"/>
      <c r="D952" s="205"/>
      <c r="E952" s="205"/>
      <c r="F952" s="205"/>
    </row>
    <row r="953" ht="13.5" customHeight="1">
      <c r="A953" s="182"/>
      <c r="B953" s="205"/>
      <c r="C953" s="205"/>
      <c r="D953" s="205"/>
      <c r="E953" s="205"/>
      <c r="F953" s="205"/>
    </row>
    <row r="954" ht="13.5" customHeight="1">
      <c r="A954" s="182"/>
      <c r="B954" s="205"/>
      <c r="C954" s="205"/>
      <c r="D954" s="205"/>
      <c r="E954" s="205"/>
      <c r="F954" s="205"/>
    </row>
    <row r="955" ht="13.5" customHeight="1">
      <c r="A955" s="182"/>
      <c r="B955" s="205"/>
      <c r="C955" s="205"/>
      <c r="D955" s="205"/>
      <c r="E955" s="205"/>
      <c r="F955" s="205"/>
    </row>
    <row r="956" ht="13.5" customHeight="1">
      <c r="A956" s="182"/>
      <c r="B956" s="205"/>
      <c r="C956" s="205"/>
      <c r="D956" s="205"/>
      <c r="E956" s="205"/>
      <c r="F956" s="205"/>
    </row>
    <row r="957" ht="13.5" customHeight="1">
      <c r="A957" s="182"/>
      <c r="B957" s="205"/>
      <c r="C957" s="205"/>
      <c r="D957" s="205"/>
      <c r="E957" s="205"/>
      <c r="F957" s="205"/>
    </row>
    <row r="958" ht="13.5" customHeight="1">
      <c r="A958" s="182"/>
      <c r="B958" s="205"/>
      <c r="C958" s="205"/>
      <c r="D958" s="205"/>
      <c r="E958" s="205"/>
      <c r="F958" s="205"/>
    </row>
    <row r="959" ht="13.5" customHeight="1">
      <c r="A959" s="182"/>
      <c r="B959" s="205"/>
      <c r="C959" s="205"/>
      <c r="D959" s="205"/>
      <c r="E959" s="205"/>
      <c r="F959" s="205"/>
    </row>
    <row r="960" ht="13.5" customHeight="1">
      <c r="A960" s="182"/>
      <c r="B960" s="205"/>
      <c r="C960" s="205"/>
      <c r="D960" s="205"/>
      <c r="E960" s="205"/>
      <c r="F960" s="205"/>
    </row>
    <row r="961" ht="13.5" customHeight="1">
      <c r="A961" s="182"/>
      <c r="B961" s="205"/>
      <c r="C961" s="205"/>
      <c r="D961" s="205"/>
      <c r="E961" s="205"/>
      <c r="F961" s="205"/>
    </row>
    <row r="962" ht="13.5" customHeight="1">
      <c r="A962" s="182"/>
      <c r="B962" s="205"/>
      <c r="C962" s="205"/>
      <c r="D962" s="205"/>
      <c r="E962" s="205"/>
      <c r="F962" s="205"/>
    </row>
    <row r="963" ht="13.5" customHeight="1">
      <c r="A963" s="182"/>
      <c r="B963" s="205"/>
      <c r="C963" s="205"/>
      <c r="D963" s="205"/>
      <c r="E963" s="205"/>
      <c r="F963" s="205"/>
    </row>
    <row r="964" ht="13.5" customHeight="1">
      <c r="A964" s="182"/>
      <c r="B964" s="205"/>
      <c r="C964" s="205"/>
      <c r="D964" s="205"/>
      <c r="E964" s="205"/>
      <c r="F964" s="205"/>
    </row>
    <row r="965" ht="13.5" customHeight="1">
      <c r="A965" s="182"/>
      <c r="B965" s="205"/>
      <c r="C965" s="205"/>
      <c r="D965" s="205"/>
      <c r="E965" s="205"/>
      <c r="F965" s="205"/>
    </row>
    <row r="966" ht="13.5" customHeight="1">
      <c r="A966" s="182"/>
      <c r="B966" s="205"/>
      <c r="C966" s="205"/>
      <c r="D966" s="205"/>
      <c r="E966" s="205"/>
      <c r="F966" s="205"/>
    </row>
    <row r="967" ht="13.5" customHeight="1">
      <c r="A967" s="182"/>
      <c r="B967" s="205"/>
      <c r="C967" s="205"/>
      <c r="D967" s="205"/>
      <c r="E967" s="205"/>
      <c r="F967" s="205"/>
    </row>
    <row r="968" ht="13.5" customHeight="1">
      <c r="A968" s="182"/>
      <c r="B968" s="205"/>
      <c r="C968" s="205"/>
      <c r="D968" s="205"/>
      <c r="E968" s="205"/>
      <c r="F968" s="205"/>
    </row>
    <row r="969" ht="13.5" customHeight="1">
      <c r="A969" s="182"/>
      <c r="B969" s="205"/>
      <c r="C969" s="205"/>
      <c r="D969" s="205"/>
      <c r="E969" s="205"/>
      <c r="F969" s="205"/>
    </row>
    <row r="970" ht="13.5" customHeight="1">
      <c r="A970" s="182"/>
      <c r="B970" s="205"/>
      <c r="C970" s="205"/>
      <c r="D970" s="205"/>
      <c r="E970" s="205"/>
      <c r="F970" s="205"/>
    </row>
    <row r="971" ht="13.5" customHeight="1">
      <c r="A971" s="182"/>
      <c r="B971" s="205"/>
      <c r="C971" s="205"/>
      <c r="D971" s="205"/>
      <c r="E971" s="205"/>
      <c r="F971" s="205"/>
    </row>
    <row r="972" ht="13.5" customHeight="1">
      <c r="A972" s="182"/>
      <c r="B972" s="205"/>
      <c r="C972" s="205"/>
      <c r="D972" s="205"/>
      <c r="E972" s="205"/>
      <c r="F972" s="205"/>
    </row>
    <row r="973" ht="13.5" customHeight="1">
      <c r="A973" s="182"/>
      <c r="B973" s="205"/>
      <c r="C973" s="205"/>
      <c r="D973" s="205"/>
      <c r="E973" s="205"/>
      <c r="F973" s="205"/>
    </row>
    <row r="974" ht="13.5" customHeight="1">
      <c r="A974" s="182"/>
      <c r="B974" s="205"/>
      <c r="C974" s="205"/>
      <c r="D974" s="205"/>
      <c r="E974" s="205"/>
      <c r="F974" s="205"/>
    </row>
    <row r="975" ht="13.5" customHeight="1">
      <c r="A975" s="182"/>
      <c r="B975" s="205"/>
      <c r="C975" s="205"/>
      <c r="D975" s="205"/>
      <c r="E975" s="205"/>
      <c r="F975" s="205"/>
    </row>
    <row r="976" ht="13.5" customHeight="1">
      <c r="A976" s="182"/>
      <c r="B976" s="205"/>
      <c r="C976" s="205"/>
      <c r="D976" s="205"/>
      <c r="E976" s="205"/>
      <c r="F976" s="205"/>
    </row>
    <row r="977" ht="13.5" customHeight="1">
      <c r="A977" s="182"/>
      <c r="B977" s="205"/>
      <c r="C977" s="205"/>
      <c r="D977" s="205"/>
      <c r="E977" s="205"/>
      <c r="F977" s="205"/>
    </row>
    <row r="978" ht="13.5" customHeight="1">
      <c r="A978" s="182"/>
      <c r="B978" s="205"/>
      <c r="C978" s="205"/>
      <c r="D978" s="205"/>
      <c r="E978" s="205"/>
      <c r="F978" s="205"/>
    </row>
    <row r="979" ht="13.5" customHeight="1">
      <c r="A979" s="182"/>
      <c r="B979" s="205"/>
      <c r="C979" s="205"/>
      <c r="D979" s="205"/>
      <c r="E979" s="205"/>
      <c r="F979" s="205"/>
    </row>
    <row r="980" ht="13.5" customHeight="1">
      <c r="A980" s="182"/>
      <c r="B980" s="205"/>
      <c r="C980" s="205"/>
      <c r="D980" s="205"/>
      <c r="E980" s="205"/>
      <c r="F980" s="205"/>
    </row>
    <row r="981" ht="13.5" customHeight="1">
      <c r="A981" s="182"/>
      <c r="B981" s="205"/>
      <c r="C981" s="205"/>
      <c r="D981" s="205"/>
      <c r="E981" s="205"/>
      <c r="F981" s="205"/>
    </row>
    <row r="982" ht="13.5" customHeight="1">
      <c r="A982" s="182"/>
      <c r="B982" s="205"/>
      <c r="C982" s="205"/>
      <c r="D982" s="205"/>
      <c r="E982" s="205"/>
      <c r="F982" s="205"/>
    </row>
    <row r="983" ht="13.5" customHeight="1">
      <c r="A983" s="182"/>
      <c r="B983" s="205"/>
      <c r="C983" s="205"/>
      <c r="D983" s="205"/>
      <c r="E983" s="205"/>
      <c r="F983" s="205"/>
    </row>
    <row r="984" ht="13.5" customHeight="1">
      <c r="A984" s="182"/>
      <c r="B984" s="205"/>
      <c r="C984" s="205"/>
      <c r="D984" s="205"/>
      <c r="E984" s="205"/>
      <c r="F984" s="205"/>
    </row>
    <row r="985" ht="13.5" customHeight="1">
      <c r="A985" s="182"/>
      <c r="B985" s="205"/>
      <c r="C985" s="205"/>
      <c r="D985" s="205"/>
      <c r="E985" s="205"/>
      <c r="F985" s="205"/>
    </row>
    <row r="986" ht="13.5" customHeight="1">
      <c r="A986" s="182"/>
      <c r="B986" s="205"/>
      <c r="C986" s="205"/>
      <c r="D986" s="205"/>
      <c r="E986" s="205"/>
      <c r="F986" s="205"/>
    </row>
    <row r="987" ht="13.5" customHeight="1">
      <c r="A987" s="182"/>
      <c r="B987" s="205"/>
      <c r="C987" s="205"/>
      <c r="D987" s="205"/>
      <c r="E987" s="205"/>
      <c r="F987" s="205"/>
    </row>
    <row r="988" ht="13.5" customHeight="1">
      <c r="A988" s="182"/>
      <c r="B988" s="205"/>
      <c r="C988" s="205"/>
      <c r="D988" s="205"/>
      <c r="E988" s="205"/>
      <c r="F988" s="205"/>
    </row>
    <row r="989" ht="13.5" customHeight="1">
      <c r="A989" s="182"/>
      <c r="B989" s="205"/>
      <c r="C989" s="205"/>
      <c r="D989" s="205"/>
      <c r="E989" s="205"/>
      <c r="F989" s="205"/>
    </row>
    <row r="990" ht="13.5" customHeight="1">
      <c r="A990" s="182"/>
      <c r="B990" s="205"/>
      <c r="C990" s="205"/>
      <c r="D990" s="205"/>
      <c r="E990" s="205"/>
      <c r="F990" s="205"/>
    </row>
    <row r="991" ht="13.5" customHeight="1">
      <c r="A991" s="182"/>
      <c r="B991" s="205"/>
      <c r="C991" s="205"/>
      <c r="D991" s="205"/>
      <c r="E991" s="205"/>
      <c r="F991" s="205"/>
    </row>
    <row r="992" ht="13.5" customHeight="1">
      <c r="A992" s="182"/>
      <c r="B992" s="205"/>
      <c r="C992" s="205"/>
      <c r="D992" s="205"/>
      <c r="E992" s="205"/>
      <c r="F992" s="205"/>
    </row>
    <row r="993" ht="13.5" customHeight="1">
      <c r="A993" s="182"/>
      <c r="B993" s="205"/>
      <c r="C993" s="205"/>
      <c r="D993" s="205"/>
      <c r="E993" s="205"/>
      <c r="F993" s="205"/>
    </row>
    <row r="994" ht="13.5" customHeight="1">
      <c r="A994" s="182"/>
      <c r="B994" s="205"/>
      <c r="C994" s="205"/>
      <c r="D994" s="205"/>
      <c r="E994" s="205"/>
      <c r="F994" s="205"/>
    </row>
    <row r="995" ht="13.5" customHeight="1">
      <c r="A995" s="182"/>
      <c r="B995" s="205"/>
      <c r="C995" s="205"/>
      <c r="D995" s="205"/>
      <c r="E995" s="205"/>
      <c r="F995" s="205"/>
    </row>
    <row r="996" ht="13.5" customHeight="1">
      <c r="A996" s="182"/>
      <c r="B996" s="205"/>
      <c r="C996" s="205"/>
      <c r="D996" s="205"/>
      <c r="E996" s="205"/>
      <c r="F996" s="205"/>
    </row>
    <row r="997" ht="13.5" customHeight="1">
      <c r="A997" s="182"/>
      <c r="B997" s="205"/>
      <c r="C997" s="205"/>
      <c r="D997" s="205"/>
      <c r="E997" s="205"/>
      <c r="F997" s="205"/>
    </row>
    <row r="998" ht="13.5" customHeight="1">
      <c r="A998" s="182"/>
      <c r="B998" s="205"/>
      <c r="C998" s="205"/>
      <c r="D998" s="205"/>
      <c r="E998" s="205"/>
      <c r="F998" s="205"/>
    </row>
    <row r="999" ht="13.5" customHeight="1">
      <c r="A999" s="182"/>
      <c r="B999" s="205"/>
      <c r="C999" s="205"/>
      <c r="D999" s="205"/>
      <c r="E999" s="205"/>
      <c r="F999" s="205"/>
    </row>
    <row r="1000" ht="13.5" customHeight="1">
      <c r="A1000" s="182"/>
      <c r="B1000" s="205"/>
      <c r="C1000" s="205"/>
      <c r="D1000" s="205"/>
      <c r="E1000" s="205"/>
      <c r="F1000" s="205"/>
    </row>
  </sheetData>
  <printOptions/>
  <pageMargins bottom="0.75" footer="0.0" header="0.0" left="0.7" right="0.7" top="0.75"/>
  <pageSetup paperSize="9" orientation="portrait"/>
  <drawing r:id="rId2"/>
  <legacyDrawing r:id="rId3"/>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88"/>
    <col customWidth="1" min="2" max="6" width="7.88"/>
    <col customWidth="1" min="7" max="26" width="7.63"/>
  </cols>
  <sheetData>
    <row r="1" ht="13.5" customHeight="1">
      <c r="A1" s="172"/>
      <c r="B1" s="173" t="s">
        <v>63</v>
      </c>
      <c r="C1" s="173" t="s">
        <v>64</v>
      </c>
      <c r="D1" s="173" t="s">
        <v>24</v>
      </c>
      <c r="E1" s="173" t="s">
        <v>121</v>
      </c>
      <c r="F1" s="173" t="s">
        <v>399</v>
      </c>
    </row>
    <row r="2" ht="13.5" customHeight="1">
      <c r="A2" s="203">
        <v>43374.0</v>
      </c>
      <c r="B2" s="177">
        <f>554+458</f>
        <v>1012</v>
      </c>
      <c r="C2" s="177"/>
      <c r="D2" s="177">
        <f>(288*16)+(17*16)</f>
        <v>4880</v>
      </c>
      <c r="E2" s="177"/>
      <c r="F2" s="177">
        <f t="shared" ref="F2:F33" si="1">SUM(B2:E2)</f>
        <v>5892</v>
      </c>
    </row>
    <row r="3" ht="13.5" customHeight="1">
      <c r="A3" s="203">
        <v>43375.0</v>
      </c>
      <c r="B3" s="177">
        <f>392+431</f>
        <v>823</v>
      </c>
      <c r="C3" s="177"/>
      <c r="D3" s="177">
        <f>(818*16)+(10*16)</f>
        <v>13248</v>
      </c>
      <c r="E3" s="177">
        <f>(187*16)</f>
        <v>2992</v>
      </c>
      <c r="F3" s="177">
        <f t="shared" si="1"/>
        <v>17063</v>
      </c>
    </row>
    <row r="4" ht="13.5" customHeight="1">
      <c r="A4" s="203">
        <v>43376.0</v>
      </c>
      <c r="B4" s="177">
        <f>518+600</f>
        <v>1118</v>
      </c>
      <c r="C4" s="177"/>
      <c r="D4" s="177"/>
      <c r="E4" s="177"/>
      <c r="F4" s="177">
        <f t="shared" si="1"/>
        <v>1118</v>
      </c>
    </row>
    <row r="5" ht="13.5" customHeight="1">
      <c r="A5" s="203">
        <v>43377.0</v>
      </c>
      <c r="B5" s="177">
        <f>128+138+528+378</f>
        <v>1172</v>
      </c>
      <c r="C5" s="177"/>
      <c r="D5" s="177"/>
      <c r="E5" s="177"/>
      <c r="F5" s="177">
        <f t="shared" si="1"/>
        <v>1172</v>
      </c>
    </row>
    <row r="6" ht="13.5" customHeight="1">
      <c r="A6" s="203">
        <v>43378.0</v>
      </c>
      <c r="B6" s="177">
        <f>99.9+499.9+1000</f>
        <v>1599.8</v>
      </c>
      <c r="C6" s="177">
        <v>1000.0</v>
      </c>
      <c r="D6" s="177"/>
      <c r="E6" s="177"/>
      <c r="F6" s="177">
        <f t="shared" si="1"/>
        <v>2599.8</v>
      </c>
    </row>
    <row r="7" ht="13.5" customHeight="1">
      <c r="A7" s="203">
        <v>43379.0</v>
      </c>
      <c r="B7" s="177">
        <f>690+959</f>
        <v>1649</v>
      </c>
      <c r="C7" s="177">
        <v>5000.0</v>
      </c>
      <c r="D7" s="177">
        <f>2030+756</f>
        <v>2786</v>
      </c>
      <c r="E7" s="177"/>
      <c r="F7" s="177">
        <f t="shared" si="1"/>
        <v>9435</v>
      </c>
    </row>
    <row r="8" ht="13.5" customHeight="1">
      <c r="A8" s="203">
        <v>43380.0</v>
      </c>
      <c r="B8" s="177">
        <f t="shared" ref="B8:B9" si="2">99.9+499.9+499.9</f>
        <v>1099.7</v>
      </c>
      <c r="C8" s="177"/>
      <c r="D8" s="177"/>
      <c r="E8" s="177"/>
      <c r="F8" s="177">
        <f t="shared" si="1"/>
        <v>1099.7</v>
      </c>
    </row>
    <row r="9" ht="13.5" customHeight="1">
      <c r="A9" s="203">
        <v>43381.0</v>
      </c>
      <c r="B9" s="177">
        <f t="shared" si="2"/>
        <v>1099.7</v>
      </c>
      <c r="C9" s="177"/>
      <c r="D9" s="177"/>
      <c r="E9" s="177"/>
      <c r="F9" s="177">
        <f t="shared" si="1"/>
        <v>1099.7</v>
      </c>
    </row>
    <row r="10" ht="13.5" customHeight="1">
      <c r="A10" s="203">
        <v>43382.0</v>
      </c>
      <c r="B10" s="177">
        <f>610+426</f>
        <v>1036</v>
      </c>
      <c r="C10" s="177"/>
      <c r="D10" s="177"/>
      <c r="E10" s="177"/>
      <c r="F10" s="177">
        <f t="shared" si="1"/>
        <v>1036</v>
      </c>
    </row>
    <row r="11" ht="13.5" customHeight="1">
      <c r="A11" s="203">
        <v>43383.0</v>
      </c>
      <c r="B11" s="177">
        <f>248+580</f>
        <v>828</v>
      </c>
      <c r="C11" s="177">
        <v>1000.0</v>
      </c>
      <c r="D11" s="177"/>
      <c r="E11" s="177"/>
      <c r="F11" s="177">
        <f t="shared" si="1"/>
        <v>1828</v>
      </c>
    </row>
    <row r="12" ht="13.5" customHeight="1">
      <c r="A12" s="203">
        <v>43384.0</v>
      </c>
      <c r="B12" s="177">
        <f>99.9+499.9+499.9+259</f>
        <v>1358.7</v>
      </c>
      <c r="C12" s="177"/>
      <c r="D12" s="177"/>
      <c r="E12" s="177">
        <v>108.0</v>
      </c>
      <c r="F12" s="177">
        <f t="shared" si="1"/>
        <v>1466.7</v>
      </c>
    </row>
    <row r="13" ht="13.5" customHeight="1">
      <c r="A13" s="203">
        <v>43385.0</v>
      </c>
      <c r="B13" s="177">
        <f>99.9+499.9+340</f>
        <v>939.8</v>
      </c>
      <c r="C13" s="177"/>
      <c r="D13" s="177"/>
      <c r="E13" s="177"/>
      <c r="F13" s="177">
        <f t="shared" si="1"/>
        <v>939.8</v>
      </c>
    </row>
    <row r="14" ht="13.5" customHeight="1">
      <c r="A14" s="203">
        <v>43386.0</v>
      </c>
      <c r="B14" s="177">
        <f>450+600</f>
        <v>1050</v>
      </c>
      <c r="C14" s="177"/>
      <c r="D14" s="177">
        <f>(107*16)</f>
        <v>1712</v>
      </c>
      <c r="E14" s="177">
        <v>100.0</v>
      </c>
      <c r="F14" s="177">
        <f t="shared" si="1"/>
        <v>2862</v>
      </c>
    </row>
    <row r="15" ht="13.5" customHeight="1">
      <c r="A15" s="203">
        <v>43387.0</v>
      </c>
      <c r="B15" s="177">
        <f>99.9+499.9+499.9</f>
        <v>1099.7</v>
      </c>
      <c r="C15" s="177"/>
      <c r="D15" s="177"/>
      <c r="E15" s="177"/>
      <c r="F15" s="177">
        <f t="shared" si="1"/>
        <v>1099.7</v>
      </c>
    </row>
    <row r="16" ht="13.5" customHeight="1">
      <c r="A16" s="203">
        <v>43388.0</v>
      </c>
      <c r="B16" s="177">
        <f>457+499.9</f>
        <v>956.9</v>
      </c>
      <c r="C16" s="177"/>
      <c r="D16" s="177"/>
      <c r="E16" s="177"/>
      <c r="F16" s="177">
        <f t="shared" si="1"/>
        <v>956.9</v>
      </c>
    </row>
    <row r="17" ht="13.5" customHeight="1">
      <c r="A17" s="203">
        <v>43389.0</v>
      </c>
      <c r="B17" s="177">
        <f>216+618</f>
        <v>834</v>
      </c>
      <c r="C17" s="177"/>
      <c r="D17" s="177"/>
      <c r="E17" s="177"/>
      <c r="F17" s="177">
        <f t="shared" si="1"/>
        <v>834</v>
      </c>
    </row>
    <row r="18" ht="13.5" customHeight="1">
      <c r="A18" s="203">
        <v>43390.0</v>
      </c>
      <c r="B18" s="177">
        <f>539+499.9</f>
        <v>1038.9</v>
      </c>
      <c r="C18" s="177"/>
      <c r="D18" s="177"/>
      <c r="E18" s="177"/>
      <c r="F18" s="177">
        <f t="shared" si="1"/>
        <v>1038.9</v>
      </c>
    </row>
    <row r="19" ht="13.5" customHeight="1">
      <c r="A19" s="203">
        <v>43391.0</v>
      </c>
      <c r="B19" s="177">
        <f>245+586</f>
        <v>831</v>
      </c>
      <c r="C19" s="177">
        <v>1000.0</v>
      </c>
      <c r="D19" s="177"/>
      <c r="E19" s="177"/>
      <c r="F19" s="177">
        <f t="shared" si="1"/>
        <v>1831</v>
      </c>
    </row>
    <row r="20" ht="13.5" customHeight="1">
      <c r="A20" s="203">
        <v>43392.0</v>
      </c>
      <c r="B20" s="177">
        <f>499+348+518</f>
        <v>1365</v>
      </c>
      <c r="C20" s="177">
        <v>3000.0</v>
      </c>
      <c r="D20" s="177"/>
      <c r="E20" s="177">
        <v>1188.0</v>
      </c>
      <c r="F20" s="177">
        <f t="shared" si="1"/>
        <v>5553</v>
      </c>
    </row>
    <row r="21" ht="13.5" customHeight="1">
      <c r="A21" s="203">
        <v>43393.0</v>
      </c>
      <c r="B21" s="177">
        <f>99.9+624+499.9</f>
        <v>1223.8</v>
      </c>
      <c r="C21" s="177"/>
      <c r="D21" s="177">
        <f>1500+1553</f>
        <v>3053</v>
      </c>
      <c r="E21" s="177">
        <f>170+200</f>
        <v>370</v>
      </c>
      <c r="F21" s="177">
        <f t="shared" si="1"/>
        <v>4646.8</v>
      </c>
    </row>
    <row r="22" ht="13.5" customHeight="1">
      <c r="A22" s="203">
        <v>43394.0</v>
      </c>
      <c r="B22" s="177">
        <f>1900+680</f>
        <v>2580</v>
      </c>
      <c r="C22" s="177"/>
      <c r="D22" s="177"/>
      <c r="E22" s="177"/>
      <c r="F22" s="177">
        <f t="shared" si="1"/>
        <v>2580</v>
      </c>
    </row>
    <row r="23" ht="13.5" customHeight="1">
      <c r="A23" s="203">
        <v>43395.0</v>
      </c>
      <c r="B23" s="177">
        <f>194+108+690+648+128</f>
        <v>1768</v>
      </c>
      <c r="C23" s="177"/>
      <c r="D23" s="177"/>
      <c r="E23" s="177"/>
      <c r="F23" s="177">
        <f t="shared" si="1"/>
        <v>1768</v>
      </c>
    </row>
    <row r="24" ht="13.5" customHeight="1">
      <c r="A24" s="203">
        <v>43396.0</v>
      </c>
      <c r="B24" s="177">
        <f>405+779+267</f>
        <v>1451</v>
      </c>
      <c r="C24" s="177"/>
      <c r="D24" s="177"/>
      <c r="E24" s="177"/>
      <c r="F24" s="177">
        <f t="shared" si="1"/>
        <v>1451</v>
      </c>
    </row>
    <row r="25" ht="13.5" customHeight="1">
      <c r="A25" s="203">
        <v>43397.0</v>
      </c>
      <c r="B25" s="177">
        <f>566</f>
        <v>566</v>
      </c>
      <c r="C25" s="177"/>
      <c r="D25" s="177"/>
      <c r="E25" s="177"/>
      <c r="F25" s="177">
        <f t="shared" si="1"/>
        <v>566</v>
      </c>
    </row>
    <row r="26" ht="13.5" customHeight="1">
      <c r="A26" s="203">
        <v>43398.0</v>
      </c>
      <c r="B26" s="177">
        <f>378+522</f>
        <v>900</v>
      </c>
      <c r="C26" s="177">
        <v>5000.0</v>
      </c>
      <c r="D26" s="177">
        <v>2800.0</v>
      </c>
      <c r="E26" s="177">
        <v>100.0</v>
      </c>
      <c r="F26" s="177">
        <f t="shared" si="1"/>
        <v>8800</v>
      </c>
    </row>
    <row r="27" ht="13.5" customHeight="1">
      <c r="A27" s="203">
        <v>43399.0</v>
      </c>
      <c r="B27" s="177">
        <f>130+653+285</f>
        <v>1068</v>
      </c>
      <c r="C27" s="177"/>
      <c r="D27" s="177"/>
      <c r="E27" s="177">
        <f>60+120</f>
        <v>180</v>
      </c>
      <c r="F27" s="177">
        <f t="shared" si="1"/>
        <v>1248</v>
      </c>
    </row>
    <row r="28" ht="13.5" customHeight="1">
      <c r="A28" s="203">
        <v>43400.0</v>
      </c>
      <c r="B28" s="177">
        <f>150+499.9+499.9+270</f>
        <v>1419.8</v>
      </c>
      <c r="C28" s="177">
        <v>600.0</v>
      </c>
      <c r="D28" s="177"/>
      <c r="E28" s="177">
        <v>600.0</v>
      </c>
      <c r="F28" s="177">
        <f t="shared" si="1"/>
        <v>2619.8</v>
      </c>
    </row>
    <row r="29" ht="13.5" customHeight="1">
      <c r="A29" s="203">
        <v>43401.0</v>
      </c>
      <c r="B29" s="177">
        <f>498+899</f>
        <v>1397</v>
      </c>
      <c r="C29" s="177"/>
      <c r="D29" s="177">
        <f>(208*16)</f>
        <v>3328</v>
      </c>
      <c r="E29" s="177"/>
      <c r="F29" s="177">
        <f t="shared" si="1"/>
        <v>4725</v>
      </c>
    </row>
    <row r="30" ht="13.5" customHeight="1">
      <c r="A30" s="203">
        <v>43402.0</v>
      </c>
      <c r="B30" s="177">
        <f>200+566</f>
        <v>766</v>
      </c>
      <c r="C30" s="177">
        <v>2000.0</v>
      </c>
      <c r="D30" s="177">
        <f>500+(20*16)</f>
        <v>820</v>
      </c>
      <c r="E30" s="177">
        <v>432.0</v>
      </c>
      <c r="F30" s="177">
        <f t="shared" si="1"/>
        <v>4018</v>
      </c>
    </row>
    <row r="31" ht="13.5" customHeight="1">
      <c r="A31" s="203">
        <v>43403.0</v>
      </c>
      <c r="B31" s="177">
        <f>479+505</f>
        <v>984</v>
      </c>
      <c r="C31" s="177"/>
      <c r="D31" s="177">
        <v>200.0</v>
      </c>
      <c r="E31" s="177"/>
      <c r="F31" s="177">
        <f t="shared" si="1"/>
        <v>1184</v>
      </c>
    </row>
    <row r="32" ht="13.5" customHeight="1">
      <c r="A32" s="203">
        <v>43404.0</v>
      </c>
      <c r="B32" s="177">
        <f>1188+513</f>
        <v>1701</v>
      </c>
      <c r="C32" s="177">
        <v>600.0</v>
      </c>
      <c r="D32" s="177">
        <v>580.0</v>
      </c>
      <c r="E32" s="177">
        <f>432+19900+216+133857</f>
        <v>154405</v>
      </c>
      <c r="F32" s="177">
        <f t="shared" si="1"/>
        <v>157286</v>
      </c>
    </row>
    <row r="33" ht="13.5" customHeight="1">
      <c r="A33" s="182" t="s">
        <v>399</v>
      </c>
      <c r="B33" s="177">
        <f t="shared" ref="B33:E33" si="3">SUM(B2:B32)</f>
        <v>36735.8</v>
      </c>
      <c r="C33" s="177">
        <f t="shared" si="3"/>
        <v>19200</v>
      </c>
      <c r="D33" s="177">
        <f t="shared" si="3"/>
        <v>33407</v>
      </c>
      <c r="E33" s="177">
        <f t="shared" si="3"/>
        <v>160475</v>
      </c>
      <c r="F33" s="177">
        <f t="shared" si="1"/>
        <v>249817.8</v>
      </c>
    </row>
    <row r="34" ht="13.5" customHeight="1">
      <c r="A34" s="182"/>
      <c r="B34" s="205"/>
      <c r="C34" s="205"/>
      <c r="D34" s="205"/>
      <c r="E34" s="205"/>
      <c r="F34" s="205"/>
    </row>
    <row r="35" ht="13.5" customHeight="1">
      <c r="A35" s="182"/>
      <c r="B35" s="205"/>
      <c r="C35" s="205"/>
      <c r="D35" s="205"/>
      <c r="E35" s="205"/>
      <c r="F35" s="205"/>
    </row>
    <row r="36" ht="13.5" customHeight="1">
      <c r="A36" s="182"/>
      <c r="B36" s="205"/>
      <c r="C36" s="205"/>
      <c r="D36" s="205"/>
      <c r="E36" s="205"/>
      <c r="F36" s="205"/>
    </row>
    <row r="37" ht="13.5" customHeight="1">
      <c r="A37" s="182"/>
      <c r="B37" s="205"/>
      <c r="C37" s="205"/>
      <c r="D37" s="205"/>
      <c r="E37" s="205"/>
      <c r="F37" s="205"/>
    </row>
    <row r="38" ht="13.5" customHeight="1">
      <c r="A38" s="182"/>
      <c r="B38" s="205"/>
      <c r="C38" s="205"/>
      <c r="D38" s="205"/>
      <c r="E38" s="205"/>
      <c r="F38" s="205"/>
    </row>
    <row r="39" ht="13.5" customHeight="1">
      <c r="A39" s="182"/>
      <c r="B39" s="205"/>
      <c r="C39" s="205"/>
      <c r="D39" s="205"/>
      <c r="E39" s="205"/>
      <c r="F39" s="205"/>
    </row>
    <row r="40" ht="13.5" customHeight="1">
      <c r="A40" s="182"/>
      <c r="B40" s="205"/>
      <c r="C40" s="205"/>
      <c r="D40" s="205"/>
      <c r="E40" s="205"/>
      <c r="F40" s="205"/>
    </row>
    <row r="41" ht="13.5" customHeight="1">
      <c r="A41" s="182"/>
      <c r="B41" s="205"/>
      <c r="C41" s="205"/>
      <c r="D41" s="205"/>
      <c r="E41" s="205"/>
      <c r="F41" s="205"/>
    </row>
    <row r="42" ht="13.5" customHeight="1">
      <c r="A42" s="182"/>
      <c r="B42" s="205"/>
      <c r="C42" s="205"/>
      <c r="D42" s="205"/>
      <c r="E42" s="205"/>
      <c r="F42" s="205"/>
    </row>
    <row r="43" ht="13.5" customHeight="1">
      <c r="A43" s="182"/>
      <c r="B43" s="205"/>
      <c r="C43" s="205"/>
      <c r="D43" s="205"/>
      <c r="E43" s="205"/>
      <c r="F43" s="205"/>
    </row>
    <row r="44" ht="13.5" customHeight="1">
      <c r="A44" s="182"/>
      <c r="B44" s="205"/>
      <c r="C44" s="205"/>
      <c r="D44" s="205"/>
      <c r="E44" s="205"/>
      <c r="F44" s="205"/>
    </row>
    <row r="45" ht="13.5" customHeight="1">
      <c r="A45" s="182"/>
      <c r="B45" s="205"/>
      <c r="C45" s="205"/>
      <c r="D45" s="205"/>
      <c r="E45" s="205"/>
      <c r="F45" s="205"/>
    </row>
    <row r="46" ht="13.5" customHeight="1">
      <c r="A46" s="182"/>
      <c r="B46" s="205"/>
      <c r="C46" s="205"/>
      <c r="D46" s="205"/>
      <c r="E46" s="205"/>
      <c r="F46" s="205"/>
    </row>
    <row r="47" ht="13.5" customHeight="1">
      <c r="A47" s="182"/>
      <c r="B47" s="205"/>
      <c r="C47" s="205"/>
      <c r="D47" s="205"/>
      <c r="E47" s="205"/>
      <c r="F47" s="205"/>
    </row>
    <row r="48" ht="13.5" customHeight="1">
      <c r="A48" s="182"/>
      <c r="B48" s="205"/>
      <c r="C48" s="205"/>
      <c r="D48" s="205"/>
      <c r="E48" s="205"/>
      <c r="F48" s="205"/>
    </row>
    <row r="49" ht="13.5" customHeight="1">
      <c r="A49" s="182"/>
      <c r="B49" s="205"/>
      <c r="C49" s="205"/>
      <c r="D49" s="205"/>
      <c r="E49" s="205"/>
      <c r="F49" s="205"/>
    </row>
    <row r="50" ht="13.5" customHeight="1">
      <c r="A50" s="182"/>
      <c r="B50" s="205"/>
      <c r="C50" s="205"/>
      <c r="D50" s="205"/>
      <c r="E50" s="205"/>
      <c r="F50" s="205"/>
    </row>
    <row r="51" ht="13.5" customHeight="1">
      <c r="A51" s="182"/>
      <c r="B51" s="205"/>
      <c r="C51" s="205"/>
      <c r="D51" s="205"/>
      <c r="E51" s="205"/>
      <c r="F51" s="205"/>
    </row>
    <row r="52" ht="13.5" customHeight="1">
      <c r="A52" s="182"/>
      <c r="B52" s="205"/>
      <c r="C52" s="205"/>
      <c r="D52" s="205"/>
      <c r="E52" s="205"/>
      <c r="F52" s="205"/>
    </row>
    <row r="53" ht="13.5" customHeight="1">
      <c r="A53" s="182"/>
      <c r="B53" s="205"/>
      <c r="C53" s="205"/>
      <c r="D53" s="205"/>
      <c r="E53" s="205"/>
      <c r="F53" s="205"/>
    </row>
    <row r="54" ht="13.5" customHeight="1">
      <c r="A54" s="182"/>
      <c r="B54" s="205"/>
      <c r="C54" s="205"/>
      <c r="D54" s="205"/>
      <c r="E54" s="205"/>
      <c r="F54" s="205"/>
    </row>
    <row r="55" ht="13.5" customHeight="1">
      <c r="A55" s="182"/>
      <c r="B55" s="205"/>
      <c r="C55" s="205"/>
      <c r="D55" s="205"/>
      <c r="E55" s="205"/>
      <c r="F55" s="205"/>
    </row>
    <row r="56" ht="13.5" customHeight="1">
      <c r="A56" s="182"/>
      <c r="B56" s="205"/>
      <c r="C56" s="205"/>
      <c r="D56" s="205"/>
      <c r="E56" s="205"/>
      <c r="F56" s="205"/>
    </row>
    <row r="57" ht="13.5" customHeight="1">
      <c r="A57" s="182"/>
      <c r="B57" s="205"/>
      <c r="C57" s="205"/>
      <c r="D57" s="205"/>
      <c r="E57" s="205"/>
      <c r="F57" s="205"/>
    </row>
    <row r="58" ht="13.5" customHeight="1">
      <c r="A58" s="182"/>
      <c r="B58" s="205"/>
      <c r="C58" s="205"/>
      <c r="D58" s="205"/>
      <c r="E58" s="205"/>
      <c r="F58" s="205"/>
    </row>
    <row r="59" ht="13.5" customHeight="1">
      <c r="A59" s="182"/>
      <c r="B59" s="205"/>
      <c r="C59" s="205"/>
      <c r="D59" s="205"/>
      <c r="E59" s="205"/>
      <c r="F59" s="205"/>
    </row>
    <row r="60" ht="13.5" customHeight="1">
      <c r="A60" s="182"/>
      <c r="B60" s="205"/>
      <c r="C60" s="205"/>
      <c r="D60" s="205"/>
      <c r="E60" s="205"/>
      <c r="F60" s="205"/>
    </row>
    <row r="61" ht="13.5" customHeight="1">
      <c r="A61" s="182"/>
      <c r="B61" s="205"/>
      <c r="C61" s="205"/>
      <c r="D61" s="205"/>
      <c r="E61" s="205"/>
      <c r="F61" s="205"/>
    </row>
    <row r="62" ht="13.5" customHeight="1">
      <c r="A62" s="182"/>
      <c r="B62" s="205"/>
      <c r="C62" s="205"/>
      <c r="D62" s="205"/>
      <c r="E62" s="205"/>
      <c r="F62" s="205"/>
    </row>
    <row r="63" ht="13.5" customHeight="1">
      <c r="A63" s="182"/>
      <c r="B63" s="205"/>
      <c r="C63" s="205"/>
      <c r="D63" s="205"/>
      <c r="E63" s="205"/>
      <c r="F63" s="205"/>
    </row>
    <row r="64" ht="13.5" customHeight="1">
      <c r="A64" s="182"/>
      <c r="B64" s="205"/>
      <c r="C64" s="205"/>
      <c r="D64" s="205"/>
      <c r="E64" s="205"/>
      <c r="F64" s="205"/>
    </row>
    <row r="65" ht="13.5" customHeight="1">
      <c r="A65" s="182"/>
      <c r="B65" s="205"/>
      <c r="C65" s="205"/>
      <c r="D65" s="205"/>
      <c r="E65" s="205"/>
      <c r="F65" s="205"/>
    </row>
    <row r="66" ht="13.5" customHeight="1">
      <c r="A66" s="182"/>
      <c r="B66" s="205"/>
      <c r="C66" s="205"/>
      <c r="D66" s="205"/>
      <c r="E66" s="205"/>
      <c r="F66" s="205"/>
    </row>
    <row r="67" ht="13.5" customHeight="1">
      <c r="A67" s="182"/>
      <c r="B67" s="205"/>
      <c r="C67" s="205"/>
      <c r="D67" s="205"/>
      <c r="E67" s="205"/>
      <c r="F67" s="205"/>
    </row>
    <row r="68" ht="13.5" customHeight="1">
      <c r="A68" s="182"/>
      <c r="B68" s="205"/>
      <c r="C68" s="205"/>
      <c r="D68" s="205"/>
      <c r="E68" s="205"/>
      <c r="F68" s="205"/>
    </row>
    <row r="69" ht="13.5" customHeight="1">
      <c r="A69" s="182"/>
      <c r="B69" s="205"/>
      <c r="C69" s="205"/>
      <c r="D69" s="205"/>
      <c r="E69" s="205"/>
      <c r="F69" s="205"/>
    </row>
    <row r="70" ht="13.5" customHeight="1">
      <c r="A70" s="182"/>
      <c r="B70" s="205"/>
      <c r="C70" s="205"/>
      <c r="D70" s="205"/>
      <c r="E70" s="205"/>
      <c r="F70" s="205"/>
    </row>
    <row r="71" ht="13.5" customHeight="1">
      <c r="A71" s="182"/>
      <c r="B71" s="205"/>
      <c r="C71" s="205"/>
      <c r="D71" s="205"/>
      <c r="E71" s="205"/>
      <c r="F71" s="205"/>
    </row>
    <row r="72" ht="13.5" customHeight="1">
      <c r="A72" s="182"/>
      <c r="B72" s="205"/>
      <c r="C72" s="205"/>
      <c r="D72" s="205"/>
      <c r="E72" s="205"/>
      <c r="F72" s="205"/>
    </row>
    <row r="73" ht="13.5" customHeight="1">
      <c r="A73" s="182"/>
      <c r="B73" s="205"/>
      <c r="C73" s="205"/>
      <c r="D73" s="205"/>
      <c r="E73" s="205"/>
      <c r="F73" s="205"/>
    </row>
    <row r="74" ht="13.5" customHeight="1">
      <c r="A74" s="182"/>
      <c r="B74" s="205"/>
      <c r="C74" s="205"/>
      <c r="D74" s="205"/>
      <c r="E74" s="205"/>
      <c r="F74" s="205"/>
    </row>
    <row r="75" ht="13.5" customHeight="1">
      <c r="A75" s="182"/>
      <c r="B75" s="205"/>
      <c r="C75" s="205"/>
      <c r="D75" s="205"/>
      <c r="E75" s="205"/>
      <c r="F75" s="205"/>
    </row>
    <row r="76" ht="13.5" customHeight="1">
      <c r="A76" s="182"/>
      <c r="B76" s="205"/>
      <c r="C76" s="205"/>
      <c r="D76" s="205"/>
      <c r="E76" s="205"/>
      <c r="F76" s="205"/>
    </row>
    <row r="77" ht="13.5" customHeight="1">
      <c r="A77" s="182"/>
      <c r="B77" s="205"/>
      <c r="C77" s="205"/>
      <c r="D77" s="205"/>
      <c r="E77" s="205"/>
      <c r="F77" s="205"/>
    </row>
    <row r="78" ht="13.5" customHeight="1">
      <c r="A78" s="182"/>
      <c r="B78" s="205"/>
      <c r="C78" s="205"/>
      <c r="D78" s="205"/>
      <c r="E78" s="205"/>
      <c r="F78" s="205"/>
    </row>
    <row r="79" ht="13.5" customHeight="1">
      <c r="A79" s="182"/>
      <c r="B79" s="205"/>
      <c r="C79" s="205"/>
      <c r="D79" s="205"/>
      <c r="E79" s="205"/>
      <c r="F79" s="205"/>
    </row>
    <row r="80" ht="13.5" customHeight="1">
      <c r="A80" s="182"/>
      <c r="B80" s="205"/>
      <c r="C80" s="205"/>
      <c r="D80" s="205"/>
      <c r="E80" s="205"/>
      <c r="F80" s="205"/>
    </row>
    <row r="81" ht="13.5" customHeight="1">
      <c r="A81" s="182"/>
      <c r="B81" s="205"/>
      <c r="C81" s="205"/>
      <c r="D81" s="205"/>
      <c r="E81" s="205"/>
      <c r="F81" s="205"/>
    </row>
    <row r="82" ht="13.5" customHeight="1">
      <c r="A82" s="182"/>
      <c r="B82" s="205"/>
      <c r="C82" s="205"/>
      <c r="D82" s="205"/>
      <c r="E82" s="205"/>
      <c r="F82" s="205"/>
    </row>
    <row r="83" ht="13.5" customHeight="1">
      <c r="A83" s="182"/>
      <c r="B83" s="205"/>
      <c r="C83" s="205"/>
      <c r="D83" s="205"/>
      <c r="E83" s="205"/>
      <c r="F83" s="205"/>
    </row>
    <row r="84" ht="13.5" customHeight="1">
      <c r="A84" s="182"/>
      <c r="B84" s="205"/>
      <c r="C84" s="205"/>
      <c r="D84" s="205"/>
      <c r="E84" s="205"/>
      <c r="F84" s="205"/>
    </row>
    <row r="85" ht="13.5" customHeight="1">
      <c r="A85" s="182"/>
      <c r="B85" s="205"/>
      <c r="C85" s="205"/>
      <c r="D85" s="205"/>
      <c r="E85" s="205"/>
      <c r="F85" s="205"/>
    </row>
    <row r="86" ht="13.5" customHeight="1">
      <c r="A86" s="182"/>
      <c r="B86" s="205"/>
      <c r="C86" s="205"/>
      <c r="D86" s="205"/>
      <c r="E86" s="205"/>
      <c r="F86" s="205"/>
    </row>
    <row r="87" ht="13.5" customHeight="1">
      <c r="A87" s="182"/>
      <c r="B87" s="205"/>
      <c r="C87" s="205"/>
      <c r="D87" s="205"/>
      <c r="E87" s="205"/>
      <c r="F87" s="205"/>
    </row>
    <row r="88" ht="13.5" customHeight="1">
      <c r="A88" s="182"/>
      <c r="B88" s="205"/>
      <c r="C88" s="205"/>
      <c r="D88" s="205"/>
      <c r="E88" s="205"/>
      <c r="F88" s="205"/>
    </row>
    <row r="89" ht="13.5" customHeight="1">
      <c r="A89" s="182"/>
      <c r="B89" s="205"/>
      <c r="C89" s="205"/>
      <c r="D89" s="205"/>
      <c r="E89" s="205"/>
      <c r="F89" s="205"/>
    </row>
    <row r="90" ht="13.5" customHeight="1">
      <c r="A90" s="182"/>
      <c r="B90" s="205"/>
      <c r="C90" s="205"/>
      <c r="D90" s="205"/>
      <c r="E90" s="205"/>
      <c r="F90" s="205"/>
    </row>
    <row r="91" ht="13.5" customHeight="1">
      <c r="A91" s="182"/>
      <c r="B91" s="205"/>
      <c r="C91" s="205"/>
      <c r="D91" s="205"/>
      <c r="E91" s="205"/>
      <c r="F91" s="205"/>
    </row>
    <row r="92" ht="13.5" customHeight="1">
      <c r="A92" s="182"/>
      <c r="B92" s="205"/>
      <c r="C92" s="205"/>
      <c r="D92" s="205"/>
      <c r="E92" s="205"/>
      <c r="F92" s="205"/>
    </row>
    <row r="93" ht="13.5" customHeight="1">
      <c r="A93" s="182"/>
      <c r="B93" s="205"/>
      <c r="C93" s="205"/>
      <c r="D93" s="205"/>
      <c r="E93" s="205"/>
      <c r="F93" s="205"/>
    </row>
    <row r="94" ht="13.5" customHeight="1">
      <c r="A94" s="182"/>
      <c r="B94" s="205"/>
      <c r="C94" s="205"/>
      <c r="D94" s="205"/>
      <c r="E94" s="205"/>
      <c r="F94" s="205"/>
    </row>
    <row r="95" ht="13.5" customHeight="1">
      <c r="A95" s="182"/>
      <c r="B95" s="205"/>
      <c r="C95" s="205"/>
      <c r="D95" s="205"/>
      <c r="E95" s="205"/>
      <c r="F95" s="205"/>
    </row>
    <row r="96" ht="13.5" customHeight="1">
      <c r="A96" s="182"/>
      <c r="B96" s="205"/>
      <c r="C96" s="205"/>
      <c r="D96" s="205"/>
      <c r="E96" s="205"/>
      <c r="F96" s="205"/>
    </row>
    <row r="97" ht="13.5" customHeight="1">
      <c r="A97" s="182"/>
      <c r="B97" s="205"/>
      <c r="C97" s="205"/>
      <c r="D97" s="205"/>
      <c r="E97" s="205"/>
      <c r="F97" s="205"/>
    </row>
    <row r="98" ht="13.5" customHeight="1">
      <c r="A98" s="182"/>
      <c r="B98" s="205"/>
      <c r="C98" s="205"/>
      <c r="D98" s="205"/>
      <c r="E98" s="205"/>
      <c r="F98" s="205"/>
    </row>
    <row r="99" ht="13.5" customHeight="1">
      <c r="A99" s="182"/>
      <c r="B99" s="205"/>
      <c r="C99" s="205"/>
      <c r="D99" s="205"/>
      <c r="E99" s="205"/>
      <c r="F99" s="205"/>
    </row>
    <row r="100" ht="13.5" customHeight="1">
      <c r="A100" s="182"/>
      <c r="B100" s="205"/>
      <c r="C100" s="205"/>
      <c r="D100" s="205"/>
      <c r="E100" s="205"/>
      <c r="F100" s="205"/>
    </row>
    <row r="101" ht="13.5" customHeight="1">
      <c r="A101" s="182"/>
      <c r="B101" s="205"/>
      <c r="C101" s="205"/>
      <c r="D101" s="205"/>
      <c r="E101" s="205"/>
      <c r="F101" s="205"/>
    </row>
    <row r="102" ht="13.5" customHeight="1">
      <c r="A102" s="182"/>
      <c r="B102" s="205"/>
      <c r="C102" s="205"/>
      <c r="D102" s="205"/>
      <c r="E102" s="205"/>
      <c r="F102" s="205"/>
    </row>
    <row r="103" ht="13.5" customHeight="1">
      <c r="A103" s="182"/>
      <c r="B103" s="205"/>
      <c r="C103" s="205"/>
      <c r="D103" s="205"/>
      <c r="E103" s="205"/>
      <c r="F103" s="205"/>
    </row>
    <row r="104" ht="13.5" customHeight="1">
      <c r="A104" s="182"/>
      <c r="B104" s="205"/>
      <c r="C104" s="205"/>
      <c r="D104" s="205"/>
      <c r="E104" s="205"/>
      <c r="F104" s="205"/>
    </row>
    <row r="105" ht="13.5" customHeight="1">
      <c r="A105" s="182"/>
      <c r="B105" s="205"/>
      <c r="C105" s="205"/>
      <c r="D105" s="205"/>
      <c r="E105" s="205"/>
      <c r="F105" s="205"/>
    </row>
    <row r="106" ht="13.5" customHeight="1">
      <c r="A106" s="182"/>
      <c r="B106" s="205"/>
      <c r="C106" s="205"/>
      <c r="D106" s="205"/>
      <c r="E106" s="205"/>
      <c r="F106" s="205"/>
    </row>
    <row r="107" ht="13.5" customHeight="1">
      <c r="A107" s="182"/>
      <c r="B107" s="205"/>
      <c r="C107" s="205"/>
      <c r="D107" s="205"/>
      <c r="E107" s="205"/>
      <c r="F107" s="205"/>
    </row>
    <row r="108" ht="13.5" customHeight="1">
      <c r="A108" s="182"/>
      <c r="B108" s="205"/>
      <c r="C108" s="205"/>
      <c r="D108" s="205"/>
      <c r="E108" s="205"/>
      <c r="F108" s="205"/>
    </row>
    <row r="109" ht="13.5" customHeight="1">
      <c r="A109" s="182"/>
      <c r="B109" s="205"/>
      <c r="C109" s="205"/>
      <c r="D109" s="205"/>
      <c r="E109" s="205"/>
      <c r="F109" s="205"/>
    </row>
    <row r="110" ht="13.5" customHeight="1">
      <c r="A110" s="182"/>
      <c r="B110" s="205"/>
      <c r="C110" s="205"/>
      <c r="D110" s="205"/>
      <c r="E110" s="205"/>
      <c r="F110" s="205"/>
    </row>
    <row r="111" ht="13.5" customHeight="1">
      <c r="A111" s="182"/>
      <c r="B111" s="205"/>
      <c r="C111" s="205"/>
      <c r="D111" s="205"/>
      <c r="E111" s="205"/>
      <c r="F111" s="205"/>
    </row>
    <row r="112" ht="13.5" customHeight="1">
      <c r="A112" s="182"/>
      <c r="B112" s="205"/>
      <c r="C112" s="205"/>
      <c r="D112" s="205"/>
      <c r="E112" s="205"/>
      <c r="F112" s="205"/>
    </row>
    <row r="113" ht="13.5" customHeight="1">
      <c r="A113" s="182"/>
      <c r="B113" s="205"/>
      <c r="C113" s="205"/>
      <c r="D113" s="205"/>
      <c r="E113" s="205"/>
      <c r="F113" s="205"/>
    </row>
    <row r="114" ht="13.5" customHeight="1">
      <c r="A114" s="182"/>
      <c r="B114" s="205"/>
      <c r="C114" s="205"/>
      <c r="D114" s="205"/>
      <c r="E114" s="205"/>
      <c r="F114" s="205"/>
    </row>
    <row r="115" ht="13.5" customHeight="1">
      <c r="A115" s="182"/>
      <c r="B115" s="205"/>
      <c r="C115" s="205"/>
      <c r="D115" s="205"/>
      <c r="E115" s="205"/>
      <c r="F115" s="205"/>
    </row>
    <row r="116" ht="13.5" customHeight="1">
      <c r="A116" s="182"/>
      <c r="B116" s="205"/>
      <c r="C116" s="205"/>
      <c r="D116" s="205"/>
      <c r="E116" s="205"/>
      <c r="F116" s="205"/>
    </row>
    <row r="117" ht="13.5" customHeight="1">
      <c r="A117" s="182"/>
      <c r="B117" s="205"/>
      <c r="C117" s="205"/>
      <c r="D117" s="205"/>
      <c r="E117" s="205"/>
      <c r="F117" s="205"/>
    </row>
    <row r="118" ht="13.5" customHeight="1">
      <c r="A118" s="182"/>
      <c r="B118" s="205"/>
      <c r="C118" s="205"/>
      <c r="D118" s="205"/>
      <c r="E118" s="205"/>
      <c r="F118" s="205"/>
    </row>
    <row r="119" ht="13.5" customHeight="1">
      <c r="A119" s="182"/>
      <c r="B119" s="205"/>
      <c r="C119" s="205"/>
      <c r="D119" s="205"/>
      <c r="E119" s="205"/>
      <c r="F119" s="205"/>
    </row>
    <row r="120" ht="13.5" customHeight="1">
      <c r="A120" s="182"/>
      <c r="B120" s="205"/>
      <c r="C120" s="205"/>
      <c r="D120" s="205"/>
      <c r="E120" s="205"/>
      <c r="F120" s="205"/>
    </row>
    <row r="121" ht="13.5" customHeight="1">
      <c r="A121" s="182"/>
      <c r="B121" s="205"/>
      <c r="C121" s="205"/>
      <c r="D121" s="205"/>
      <c r="E121" s="205"/>
      <c r="F121" s="205"/>
    </row>
    <row r="122" ht="13.5" customHeight="1">
      <c r="A122" s="182"/>
      <c r="B122" s="205"/>
      <c r="C122" s="205"/>
      <c r="D122" s="205"/>
      <c r="E122" s="205"/>
      <c r="F122" s="205"/>
    </row>
    <row r="123" ht="13.5" customHeight="1">
      <c r="A123" s="182"/>
      <c r="B123" s="205"/>
      <c r="C123" s="205"/>
      <c r="D123" s="205"/>
      <c r="E123" s="205"/>
      <c r="F123" s="205"/>
    </row>
    <row r="124" ht="13.5" customHeight="1">
      <c r="A124" s="182"/>
      <c r="B124" s="205"/>
      <c r="C124" s="205"/>
      <c r="D124" s="205"/>
      <c r="E124" s="205"/>
      <c r="F124" s="205"/>
    </row>
    <row r="125" ht="13.5" customHeight="1">
      <c r="A125" s="182"/>
      <c r="B125" s="205"/>
      <c r="C125" s="205"/>
      <c r="D125" s="205"/>
      <c r="E125" s="205"/>
      <c r="F125" s="205"/>
    </row>
    <row r="126" ht="13.5" customHeight="1">
      <c r="A126" s="182"/>
      <c r="B126" s="205"/>
      <c r="C126" s="205"/>
      <c r="D126" s="205"/>
      <c r="E126" s="205"/>
      <c r="F126" s="205"/>
    </row>
    <row r="127" ht="13.5" customHeight="1">
      <c r="A127" s="182"/>
      <c r="B127" s="205"/>
      <c r="C127" s="205"/>
      <c r="D127" s="205"/>
      <c r="E127" s="205"/>
      <c r="F127" s="205"/>
    </row>
    <row r="128" ht="13.5" customHeight="1">
      <c r="A128" s="182"/>
      <c r="B128" s="205"/>
      <c r="C128" s="205"/>
      <c r="D128" s="205"/>
      <c r="E128" s="205"/>
      <c r="F128" s="205"/>
    </row>
    <row r="129" ht="13.5" customHeight="1">
      <c r="A129" s="182"/>
      <c r="B129" s="205"/>
      <c r="C129" s="205"/>
      <c r="D129" s="205"/>
      <c r="E129" s="205"/>
      <c r="F129" s="205"/>
    </row>
    <row r="130" ht="13.5" customHeight="1">
      <c r="A130" s="182"/>
      <c r="B130" s="205"/>
      <c r="C130" s="205"/>
      <c r="D130" s="205"/>
      <c r="E130" s="205"/>
      <c r="F130" s="205"/>
    </row>
    <row r="131" ht="13.5" customHeight="1">
      <c r="A131" s="182"/>
      <c r="B131" s="205"/>
      <c r="C131" s="205"/>
      <c r="D131" s="205"/>
      <c r="E131" s="205"/>
      <c r="F131" s="205"/>
    </row>
    <row r="132" ht="13.5" customHeight="1">
      <c r="A132" s="182"/>
      <c r="B132" s="205"/>
      <c r="C132" s="205"/>
      <c r="D132" s="205"/>
      <c r="E132" s="205"/>
      <c r="F132" s="205"/>
    </row>
    <row r="133" ht="13.5" customHeight="1">
      <c r="A133" s="182"/>
      <c r="B133" s="205"/>
      <c r="C133" s="205"/>
      <c r="D133" s="205"/>
      <c r="E133" s="205"/>
      <c r="F133" s="205"/>
    </row>
    <row r="134" ht="13.5" customHeight="1">
      <c r="A134" s="182"/>
      <c r="B134" s="205"/>
      <c r="C134" s="205"/>
      <c r="D134" s="205"/>
      <c r="E134" s="205"/>
      <c r="F134" s="205"/>
    </row>
    <row r="135" ht="13.5" customHeight="1">
      <c r="A135" s="182"/>
      <c r="B135" s="205"/>
      <c r="C135" s="205"/>
      <c r="D135" s="205"/>
      <c r="E135" s="205"/>
      <c r="F135" s="205"/>
    </row>
    <row r="136" ht="13.5" customHeight="1">
      <c r="A136" s="182"/>
      <c r="B136" s="205"/>
      <c r="C136" s="205"/>
      <c r="D136" s="205"/>
      <c r="E136" s="205"/>
      <c r="F136" s="205"/>
    </row>
    <row r="137" ht="13.5" customHeight="1">
      <c r="A137" s="182"/>
      <c r="B137" s="205"/>
      <c r="C137" s="205"/>
      <c r="D137" s="205"/>
      <c r="E137" s="205"/>
      <c r="F137" s="205"/>
    </row>
    <row r="138" ht="13.5" customHeight="1">
      <c r="A138" s="182"/>
      <c r="B138" s="205"/>
      <c r="C138" s="205"/>
      <c r="D138" s="205"/>
      <c r="E138" s="205"/>
      <c r="F138" s="205"/>
    </row>
    <row r="139" ht="13.5" customHeight="1">
      <c r="A139" s="182"/>
      <c r="B139" s="205"/>
      <c r="C139" s="205"/>
      <c r="D139" s="205"/>
      <c r="E139" s="205"/>
      <c r="F139" s="205"/>
    </row>
    <row r="140" ht="13.5" customHeight="1">
      <c r="A140" s="182"/>
      <c r="B140" s="205"/>
      <c r="C140" s="205"/>
      <c r="D140" s="205"/>
      <c r="E140" s="205"/>
      <c r="F140" s="205"/>
    </row>
    <row r="141" ht="13.5" customHeight="1">
      <c r="A141" s="182"/>
      <c r="B141" s="205"/>
      <c r="C141" s="205"/>
      <c r="D141" s="205"/>
      <c r="E141" s="205"/>
      <c r="F141" s="205"/>
    </row>
    <row r="142" ht="13.5" customHeight="1">
      <c r="A142" s="182"/>
      <c r="B142" s="205"/>
      <c r="C142" s="205"/>
      <c r="D142" s="205"/>
      <c r="E142" s="205"/>
      <c r="F142" s="205"/>
    </row>
    <row r="143" ht="13.5" customHeight="1">
      <c r="A143" s="182"/>
      <c r="B143" s="205"/>
      <c r="C143" s="205"/>
      <c r="D143" s="205"/>
      <c r="E143" s="205"/>
      <c r="F143" s="205"/>
    </row>
    <row r="144" ht="13.5" customHeight="1">
      <c r="A144" s="182"/>
      <c r="B144" s="205"/>
      <c r="C144" s="205"/>
      <c r="D144" s="205"/>
      <c r="E144" s="205"/>
      <c r="F144" s="205"/>
    </row>
    <row r="145" ht="13.5" customHeight="1">
      <c r="A145" s="182"/>
      <c r="B145" s="205"/>
      <c r="C145" s="205"/>
      <c r="D145" s="205"/>
      <c r="E145" s="205"/>
      <c r="F145" s="205"/>
    </row>
    <row r="146" ht="13.5" customHeight="1">
      <c r="A146" s="182"/>
      <c r="B146" s="205"/>
      <c r="C146" s="205"/>
      <c r="D146" s="205"/>
      <c r="E146" s="205"/>
      <c r="F146" s="205"/>
    </row>
    <row r="147" ht="13.5" customHeight="1">
      <c r="A147" s="182"/>
      <c r="B147" s="205"/>
      <c r="C147" s="205"/>
      <c r="D147" s="205"/>
      <c r="E147" s="205"/>
      <c r="F147" s="205"/>
    </row>
    <row r="148" ht="13.5" customHeight="1">
      <c r="A148" s="182"/>
      <c r="B148" s="205"/>
      <c r="C148" s="205"/>
      <c r="D148" s="205"/>
      <c r="E148" s="205"/>
      <c r="F148" s="205"/>
    </row>
    <row r="149" ht="13.5" customHeight="1">
      <c r="A149" s="182"/>
      <c r="B149" s="205"/>
      <c r="C149" s="205"/>
      <c r="D149" s="205"/>
      <c r="E149" s="205"/>
      <c r="F149" s="205"/>
    </row>
    <row r="150" ht="13.5" customHeight="1">
      <c r="A150" s="182"/>
      <c r="B150" s="205"/>
      <c r="C150" s="205"/>
      <c r="D150" s="205"/>
      <c r="E150" s="205"/>
      <c r="F150" s="205"/>
    </row>
    <row r="151" ht="13.5" customHeight="1">
      <c r="A151" s="182"/>
      <c r="B151" s="205"/>
      <c r="C151" s="205"/>
      <c r="D151" s="205"/>
      <c r="E151" s="205"/>
      <c r="F151" s="205"/>
    </row>
    <row r="152" ht="13.5" customHeight="1">
      <c r="A152" s="182"/>
      <c r="B152" s="205"/>
      <c r="C152" s="205"/>
      <c r="D152" s="205"/>
      <c r="E152" s="205"/>
      <c r="F152" s="205"/>
    </row>
    <row r="153" ht="13.5" customHeight="1">
      <c r="A153" s="182"/>
      <c r="B153" s="205"/>
      <c r="C153" s="205"/>
      <c r="D153" s="205"/>
      <c r="E153" s="205"/>
      <c r="F153" s="205"/>
    </row>
    <row r="154" ht="13.5" customHeight="1">
      <c r="A154" s="182"/>
      <c r="B154" s="205"/>
      <c r="C154" s="205"/>
      <c r="D154" s="205"/>
      <c r="E154" s="205"/>
      <c r="F154" s="205"/>
    </row>
    <row r="155" ht="13.5" customHeight="1">
      <c r="A155" s="182"/>
      <c r="B155" s="205"/>
      <c r="C155" s="205"/>
      <c r="D155" s="205"/>
      <c r="E155" s="205"/>
      <c r="F155" s="205"/>
    </row>
    <row r="156" ht="13.5" customHeight="1">
      <c r="A156" s="182"/>
      <c r="B156" s="205"/>
      <c r="C156" s="205"/>
      <c r="D156" s="205"/>
      <c r="E156" s="205"/>
      <c r="F156" s="205"/>
    </row>
    <row r="157" ht="13.5" customHeight="1">
      <c r="A157" s="182"/>
      <c r="B157" s="205"/>
      <c r="C157" s="205"/>
      <c r="D157" s="205"/>
      <c r="E157" s="205"/>
      <c r="F157" s="205"/>
    </row>
    <row r="158" ht="13.5" customHeight="1">
      <c r="A158" s="182"/>
      <c r="B158" s="205"/>
      <c r="C158" s="205"/>
      <c r="D158" s="205"/>
      <c r="E158" s="205"/>
      <c r="F158" s="205"/>
    </row>
    <row r="159" ht="13.5" customHeight="1">
      <c r="A159" s="182"/>
      <c r="B159" s="205"/>
      <c r="C159" s="205"/>
      <c r="D159" s="205"/>
      <c r="E159" s="205"/>
      <c r="F159" s="205"/>
    </row>
    <row r="160" ht="13.5" customHeight="1">
      <c r="A160" s="182"/>
      <c r="B160" s="205"/>
      <c r="C160" s="205"/>
      <c r="D160" s="205"/>
      <c r="E160" s="205"/>
      <c r="F160" s="205"/>
    </row>
    <row r="161" ht="13.5" customHeight="1">
      <c r="A161" s="182"/>
      <c r="B161" s="205"/>
      <c r="C161" s="205"/>
      <c r="D161" s="205"/>
      <c r="E161" s="205"/>
      <c r="F161" s="205"/>
    </row>
    <row r="162" ht="13.5" customHeight="1">
      <c r="A162" s="182"/>
      <c r="B162" s="205"/>
      <c r="C162" s="205"/>
      <c r="D162" s="205"/>
      <c r="E162" s="205"/>
      <c r="F162" s="205"/>
    </row>
    <row r="163" ht="13.5" customHeight="1">
      <c r="A163" s="182"/>
      <c r="B163" s="205"/>
      <c r="C163" s="205"/>
      <c r="D163" s="205"/>
      <c r="E163" s="205"/>
      <c r="F163" s="205"/>
    </row>
    <row r="164" ht="13.5" customHeight="1">
      <c r="A164" s="182"/>
      <c r="B164" s="205"/>
      <c r="C164" s="205"/>
      <c r="D164" s="205"/>
      <c r="E164" s="205"/>
      <c r="F164" s="205"/>
    </row>
    <row r="165" ht="13.5" customHeight="1">
      <c r="A165" s="182"/>
      <c r="B165" s="205"/>
      <c r="C165" s="205"/>
      <c r="D165" s="205"/>
      <c r="E165" s="205"/>
      <c r="F165" s="205"/>
    </row>
    <row r="166" ht="13.5" customHeight="1">
      <c r="A166" s="182"/>
      <c r="B166" s="205"/>
      <c r="C166" s="205"/>
      <c r="D166" s="205"/>
      <c r="E166" s="205"/>
      <c r="F166" s="205"/>
    </row>
    <row r="167" ht="13.5" customHeight="1">
      <c r="A167" s="182"/>
      <c r="B167" s="205"/>
      <c r="C167" s="205"/>
      <c r="D167" s="205"/>
      <c r="E167" s="205"/>
      <c r="F167" s="205"/>
    </row>
    <row r="168" ht="13.5" customHeight="1">
      <c r="A168" s="182"/>
      <c r="B168" s="205"/>
      <c r="C168" s="205"/>
      <c r="D168" s="205"/>
      <c r="E168" s="205"/>
      <c r="F168" s="205"/>
    </row>
    <row r="169" ht="13.5" customHeight="1">
      <c r="A169" s="182"/>
      <c r="B169" s="205"/>
      <c r="C169" s="205"/>
      <c r="D169" s="205"/>
      <c r="E169" s="205"/>
      <c r="F169" s="205"/>
    </row>
    <row r="170" ht="13.5" customHeight="1">
      <c r="A170" s="182"/>
      <c r="B170" s="205"/>
      <c r="C170" s="205"/>
      <c r="D170" s="205"/>
      <c r="E170" s="205"/>
      <c r="F170" s="205"/>
    </row>
    <row r="171" ht="13.5" customHeight="1">
      <c r="A171" s="182"/>
      <c r="B171" s="205"/>
      <c r="C171" s="205"/>
      <c r="D171" s="205"/>
      <c r="E171" s="205"/>
      <c r="F171" s="205"/>
    </row>
    <row r="172" ht="13.5" customHeight="1">
      <c r="A172" s="182"/>
      <c r="B172" s="205"/>
      <c r="C172" s="205"/>
      <c r="D172" s="205"/>
      <c r="E172" s="205"/>
      <c r="F172" s="205"/>
    </row>
    <row r="173" ht="13.5" customHeight="1">
      <c r="A173" s="182"/>
      <c r="B173" s="205"/>
      <c r="C173" s="205"/>
      <c r="D173" s="205"/>
      <c r="E173" s="205"/>
      <c r="F173" s="205"/>
    </row>
    <row r="174" ht="13.5" customHeight="1">
      <c r="A174" s="182"/>
      <c r="B174" s="205"/>
      <c r="C174" s="205"/>
      <c r="D174" s="205"/>
      <c r="E174" s="205"/>
      <c r="F174" s="205"/>
    </row>
    <row r="175" ht="13.5" customHeight="1">
      <c r="A175" s="182"/>
      <c r="B175" s="205"/>
      <c r="C175" s="205"/>
      <c r="D175" s="205"/>
      <c r="E175" s="205"/>
      <c r="F175" s="205"/>
    </row>
    <row r="176" ht="13.5" customHeight="1">
      <c r="A176" s="182"/>
      <c r="B176" s="205"/>
      <c r="C176" s="205"/>
      <c r="D176" s="205"/>
      <c r="E176" s="205"/>
      <c r="F176" s="205"/>
    </row>
    <row r="177" ht="13.5" customHeight="1">
      <c r="A177" s="182"/>
      <c r="B177" s="205"/>
      <c r="C177" s="205"/>
      <c r="D177" s="205"/>
      <c r="E177" s="205"/>
      <c r="F177" s="205"/>
    </row>
    <row r="178" ht="13.5" customHeight="1">
      <c r="A178" s="182"/>
      <c r="B178" s="205"/>
      <c r="C178" s="205"/>
      <c r="D178" s="205"/>
      <c r="E178" s="205"/>
      <c r="F178" s="205"/>
    </row>
    <row r="179" ht="13.5" customHeight="1">
      <c r="A179" s="182"/>
      <c r="B179" s="205"/>
      <c r="C179" s="205"/>
      <c r="D179" s="205"/>
      <c r="E179" s="205"/>
      <c r="F179" s="205"/>
    </row>
    <row r="180" ht="13.5" customHeight="1">
      <c r="A180" s="182"/>
      <c r="B180" s="205"/>
      <c r="C180" s="205"/>
      <c r="D180" s="205"/>
      <c r="E180" s="205"/>
      <c r="F180" s="205"/>
    </row>
    <row r="181" ht="13.5" customHeight="1">
      <c r="A181" s="182"/>
      <c r="B181" s="205"/>
      <c r="C181" s="205"/>
      <c r="D181" s="205"/>
      <c r="E181" s="205"/>
      <c r="F181" s="205"/>
    </row>
    <row r="182" ht="13.5" customHeight="1">
      <c r="A182" s="182"/>
      <c r="B182" s="205"/>
      <c r="C182" s="205"/>
      <c r="D182" s="205"/>
      <c r="E182" s="205"/>
      <c r="F182" s="205"/>
    </row>
    <row r="183" ht="13.5" customHeight="1">
      <c r="A183" s="182"/>
      <c r="B183" s="205"/>
      <c r="C183" s="205"/>
      <c r="D183" s="205"/>
      <c r="E183" s="205"/>
      <c r="F183" s="205"/>
    </row>
    <row r="184" ht="13.5" customHeight="1">
      <c r="A184" s="182"/>
      <c r="B184" s="205"/>
      <c r="C184" s="205"/>
      <c r="D184" s="205"/>
      <c r="E184" s="205"/>
      <c r="F184" s="205"/>
    </row>
    <row r="185" ht="13.5" customHeight="1">
      <c r="A185" s="182"/>
      <c r="B185" s="205"/>
      <c r="C185" s="205"/>
      <c r="D185" s="205"/>
      <c r="E185" s="205"/>
      <c r="F185" s="205"/>
    </row>
    <row r="186" ht="13.5" customHeight="1">
      <c r="A186" s="182"/>
      <c r="B186" s="205"/>
      <c r="C186" s="205"/>
      <c r="D186" s="205"/>
      <c r="E186" s="205"/>
      <c r="F186" s="205"/>
    </row>
    <row r="187" ht="13.5" customHeight="1">
      <c r="A187" s="182"/>
      <c r="B187" s="205"/>
      <c r="C187" s="205"/>
      <c r="D187" s="205"/>
      <c r="E187" s="205"/>
      <c r="F187" s="205"/>
    </row>
    <row r="188" ht="13.5" customHeight="1">
      <c r="A188" s="182"/>
      <c r="B188" s="205"/>
      <c r="C188" s="205"/>
      <c r="D188" s="205"/>
      <c r="E188" s="205"/>
      <c r="F188" s="205"/>
    </row>
    <row r="189" ht="13.5" customHeight="1">
      <c r="A189" s="182"/>
      <c r="B189" s="205"/>
      <c r="C189" s="205"/>
      <c r="D189" s="205"/>
      <c r="E189" s="205"/>
      <c r="F189" s="205"/>
    </row>
    <row r="190" ht="13.5" customHeight="1">
      <c r="A190" s="182"/>
      <c r="B190" s="205"/>
      <c r="C190" s="205"/>
      <c r="D190" s="205"/>
      <c r="E190" s="205"/>
      <c r="F190" s="205"/>
    </row>
    <row r="191" ht="13.5" customHeight="1">
      <c r="A191" s="182"/>
      <c r="B191" s="205"/>
      <c r="C191" s="205"/>
      <c r="D191" s="205"/>
      <c r="E191" s="205"/>
      <c r="F191" s="205"/>
    </row>
    <row r="192" ht="13.5" customHeight="1">
      <c r="A192" s="182"/>
      <c r="B192" s="205"/>
      <c r="C192" s="205"/>
      <c r="D192" s="205"/>
      <c r="E192" s="205"/>
      <c r="F192" s="205"/>
    </row>
    <row r="193" ht="13.5" customHeight="1">
      <c r="A193" s="182"/>
      <c r="B193" s="205"/>
      <c r="C193" s="205"/>
      <c r="D193" s="205"/>
      <c r="E193" s="205"/>
      <c r="F193" s="205"/>
    </row>
    <row r="194" ht="13.5" customHeight="1">
      <c r="A194" s="182"/>
      <c r="B194" s="205"/>
      <c r="C194" s="205"/>
      <c r="D194" s="205"/>
      <c r="E194" s="205"/>
      <c r="F194" s="205"/>
    </row>
    <row r="195" ht="13.5" customHeight="1">
      <c r="A195" s="182"/>
      <c r="B195" s="205"/>
      <c r="C195" s="205"/>
      <c r="D195" s="205"/>
      <c r="E195" s="205"/>
      <c r="F195" s="205"/>
    </row>
    <row r="196" ht="13.5" customHeight="1">
      <c r="A196" s="182"/>
      <c r="B196" s="205"/>
      <c r="C196" s="205"/>
      <c r="D196" s="205"/>
      <c r="E196" s="205"/>
      <c r="F196" s="205"/>
    </row>
    <row r="197" ht="13.5" customHeight="1">
      <c r="A197" s="182"/>
      <c r="B197" s="205"/>
      <c r="C197" s="205"/>
      <c r="D197" s="205"/>
      <c r="E197" s="205"/>
      <c r="F197" s="205"/>
    </row>
    <row r="198" ht="13.5" customHeight="1">
      <c r="A198" s="182"/>
      <c r="B198" s="205"/>
      <c r="C198" s="205"/>
      <c r="D198" s="205"/>
      <c r="E198" s="205"/>
      <c r="F198" s="205"/>
    </row>
    <row r="199" ht="13.5" customHeight="1">
      <c r="A199" s="182"/>
      <c r="B199" s="205"/>
      <c r="C199" s="205"/>
      <c r="D199" s="205"/>
      <c r="E199" s="205"/>
      <c r="F199" s="205"/>
    </row>
    <row r="200" ht="13.5" customHeight="1">
      <c r="A200" s="182"/>
      <c r="B200" s="205"/>
      <c r="C200" s="205"/>
      <c r="D200" s="205"/>
      <c r="E200" s="205"/>
      <c r="F200" s="205"/>
    </row>
    <row r="201" ht="13.5" customHeight="1">
      <c r="A201" s="182"/>
      <c r="B201" s="205"/>
      <c r="C201" s="205"/>
      <c r="D201" s="205"/>
      <c r="E201" s="205"/>
      <c r="F201" s="205"/>
    </row>
    <row r="202" ht="13.5" customHeight="1">
      <c r="A202" s="182"/>
      <c r="B202" s="205"/>
      <c r="C202" s="205"/>
      <c r="D202" s="205"/>
      <c r="E202" s="205"/>
      <c r="F202" s="205"/>
    </row>
    <row r="203" ht="13.5" customHeight="1">
      <c r="A203" s="182"/>
      <c r="B203" s="205"/>
      <c r="C203" s="205"/>
      <c r="D203" s="205"/>
      <c r="E203" s="205"/>
      <c r="F203" s="205"/>
    </row>
    <row r="204" ht="13.5" customHeight="1">
      <c r="A204" s="182"/>
      <c r="B204" s="205"/>
      <c r="C204" s="205"/>
      <c r="D204" s="205"/>
      <c r="E204" s="205"/>
      <c r="F204" s="205"/>
    </row>
    <row r="205" ht="13.5" customHeight="1">
      <c r="A205" s="182"/>
      <c r="B205" s="205"/>
      <c r="C205" s="205"/>
      <c r="D205" s="205"/>
      <c r="E205" s="205"/>
      <c r="F205" s="205"/>
    </row>
    <row r="206" ht="13.5" customHeight="1">
      <c r="A206" s="182"/>
      <c r="B206" s="205"/>
      <c r="C206" s="205"/>
      <c r="D206" s="205"/>
      <c r="E206" s="205"/>
      <c r="F206" s="205"/>
    </row>
    <row r="207" ht="13.5" customHeight="1">
      <c r="A207" s="182"/>
      <c r="B207" s="205"/>
      <c r="C207" s="205"/>
      <c r="D207" s="205"/>
      <c r="E207" s="205"/>
      <c r="F207" s="205"/>
    </row>
    <row r="208" ht="13.5" customHeight="1">
      <c r="A208" s="182"/>
      <c r="B208" s="205"/>
      <c r="C208" s="205"/>
      <c r="D208" s="205"/>
      <c r="E208" s="205"/>
      <c r="F208" s="205"/>
    </row>
    <row r="209" ht="13.5" customHeight="1">
      <c r="A209" s="182"/>
      <c r="B209" s="205"/>
      <c r="C209" s="205"/>
      <c r="D209" s="205"/>
      <c r="E209" s="205"/>
      <c r="F209" s="205"/>
    </row>
    <row r="210" ht="13.5" customHeight="1">
      <c r="A210" s="182"/>
      <c r="B210" s="205"/>
      <c r="C210" s="205"/>
      <c r="D210" s="205"/>
      <c r="E210" s="205"/>
      <c r="F210" s="205"/>
    </row>
    <row r="211" ht="13.5" customHeight="1">
      <c r="A211" s="182"/>
      <c r="B211" s="205"/>
      <c r="C211" s="205"/>
      <c r="D211" s="205"/>
      <c r="E211" s="205"/>
      <c r="F211" s="205"/>
    </row>
    <row r="212" ht="13.5" customHeight="1">
      <c r="A212" s="182"/>
      <c r="B212" s="205"/>
      <c r="C212" s="205"/>
      <c r="D212" s="205"/>
      <c r="E212" s="205"/>
      <c r="F212" s="205"/>
    </row>
    <row r="213" ht="13.5" customHeight="1">
      <c r="A213" s="182"/>
      <c r="B213" s="205"/>
      <c r="C213" s="205"/>
      <c r="D213" s="205"/>
      <c r="E213" s="205"/>
      <c r="F213" s="205"/>
    </row>
    <row r="214" ht="13.5" customHeight="1">
      <c r="A214" s="182"/>
      <c r="B214" s="205"/>
      <c r="C214" s="205"/>
      <c r="D214" s="205"/>
      <c r="E214" s="205"/>
      <c r="F214" s="205"/>
    </row>
    <row r="215" ht="13.5" customHeight="1">
      <c r="A215" s="182"/>
      <c r="B215" s="205"/>
      <c r="C215" s="205"/>
      <c r="D215" s="205"/>
      <c r="E215" s="205"/>
      <c r="F215" s="205"/>
    </row>
    <row r="216" ht="13.5" customHeight="1">
      <c r="A216" s="182"/>
      <c r="B216" s="205"/>
      <c r="C216" s="205"/>
      <c r="D216" s="205"/>
      <c r="E216" s="205"/>
      <c r="F216" s="205"/>
    </row>
    <row r="217" ht="13.5" customHeight="1">
      <c r="A217" s="182"/>
      <c r="B217" s="205"/>
      <c r="C217" s="205"/>
      <c r="D217" s="205"/>
      <c r="E217" s="205"/>
      <c r="F217" s="205"/>
    </row>
    <row r="218" ht="13.5" customHeight="1">
      <c r="A218" s="182"/>
      <c r="B218" s="205"/>
      <c r="C218" s="205"/>
      <c r="D218" s="205"/>
      <c r="E218" s="205"/>
      <c r="F218" s="205"/>
    </row>
    <row r="219" ht="13.5" customHeight="1">
      <c r="A219" s="182"/>
      <c r="B219" s="205"/>
      <c r="C219" s="205"/>
      <c r="D219" s="205"/>
      <c r="E219" s="205"/>
      <c r="F219" s="205"/>
    </row>
    <row r="220" ht="13.5" customHeight="1">
      <c r="A220" s="182"/>
      <c r="B220" s="205"/>
      <c r="C220" s="205"/>
      <c r="D220" s="205"/>
      <c r="E220" s="205"/>
      <c r="F220" s="205"/>
    </row>
    <row r="221" ht="13.5" customHeight="1">
      <c r="A221" s="182"/>
      <c r="B221" s="205"/>
      <c r="C221" s="205"/>
      <c r="D221" s="205"/>
      <c r="E221" s="205"/>
      <c r="F221" s="205"/>
    </row>
    <row r="222" ht="13.5" customHeight="1">
      <c r="A222" s="182"/>
      <c r="B222" s="205"/>
      <c r="C222" s="205"/>
      <c r="D222" s="205"/>
      <c r="E222" s="205"/>
      <c r="F222" s="205"/>
    </row>
    <row r="223" ht="13.5" customHeight="1">
      <c r="A223" s="182"/>
      <c r="B223" s="205"/>
      <c r="C223" s="205"/>
      <c r="D223" s="205"/>
      <c r="E223" s="205"/>
      <c r="F223" s="205"/>
    </row>
    <row r="224" ht="13.5" customHeight="1">
      <c r="A224" s="182"/>
      <c r="B224" s="205"/>
      <c r="C224" s="205"/>
      <c r="D224" s="205"/>
      <c r="E224" s="205"/>
      <c r="F224" s="205"/>
    </row>
    <row r="225" ht="13.5" customHeight="1">
      <c r="A225" s="182"/>
      <c r="B225" s="205"/>
      <c r="C225" s="205"/>
      <c r="D225" s="205"/>
      <c r="E225" s="205"/>
      <c r="F225" s="205"/>
    </row>
    <row r="226" ht="13.5" customHeight="1">
      <c r="A226" s="182"/>
      <c r="B226" s="205"/>
      <c r="C226" s="205"/>
      <c r="D226" s="205"/>
      <c r="E226" s="205"/>
      <c r="F226" s="205"/>
    </row>
    <row r="227" ht="13.5" customHeight="1">
      <c r="A227" s="182"/>
      <c r="B227" s="205"/>
      <c r="C227" s="205"/>
      <c r="D227" s="205"/>
      <c r="E227" s="205"/>
      <c r="F227" s="205"/>
    </row>
    <row r="228" ht="13.5" customHeight="1">
      <c r="A228" s="182"/>
      <c r="B228" s="205"/>
      <c r="C228" s="205"/>
      <c r="D228" s="205"/>
      <c r="E228" s="205"/>
      <c r="F228" s="205"/>
    </row>
    <row r="229" ht="13.5" customHeight="1">
      <c r="A229" s="182"/>
      <c r="B229" s="205"/>
      <c r="C229" s="205"/>
      <c r="D229" s="205"/>
      <c r="E229" s="205"/>
      <c r="F229" s="205"/>
    </row>
    <row r="230" ht="13.5" customHeight="1">
      <c r="A230" s="182"/>
      <c r="B230" s="205"/>
      <c r="C230" s="205"/>
      <c r="D230" s="205"/>
      <c r="E230" s="205"/>
      <c r="F230" s="205"/>
    </row>
    <row r="231" ht="13.5" customHeight="1">
      <c r="A231" s="182"/>
      <c r="B231" s="205"/>
      <c r="C231" s="205"/>
      <c r="D231" s="205"/>
      <c r="E231" s="205"/>
      <c r="F231" s="205"/>
    </row>
    <row r="232" ht="13.5" customHeight="1">
      <c r="A232" s="182"/>
      <c r="B232" s="205"/>
      <c r="C232" s="205"/>
      <c r="D232" s="205"/>
      <c r="E232" s="205"/>
      <c r="F232" s="205"/>
    </row>
    <row r="233" ht="13.5" customHeight="1">
      <c r="A233" s="182"/>
      <c r="B233" s="205"/>
      <c r="C233" s="205"/>
      <c r="D233" s="205"/>
      <c r="E233" s="205"/>
      <c r="F233" s="205"/>
    </row>
    <row r="234" ht="13.5" customHeight="1">
      <c r="A234" s="182"/>
      <c r="B234" s="205"/>
      <c r="C234" s="205"/>
      <c r="D234" s="205"/>
      <c r="E234" s="205"/>
      <c r="F234" s="205"/>
    </row>
    <row r="235" ht="13.5" customHeight="1">
      <c r="A235" s="182"/>
      <c r="B235" s="205"/>
      <c r="C235" s="205"/>
      <c r="D235" s="205"/>
      <c r="E235" s="205"/>
      <c r="F235" s="205"/>
    </row>
    <row r="236" ht="13.5" customHeight="1">
      <c r="A236" s="182"/>
      <c r="B236" s="205"/>
      <c r="C236" s="205"/>
      <c r="D236" s="205"/>
      <c r="E236" s="205"/>
      <c r="F236" s="205"/>
    </row>
    <row r="237" ht="13.5" customHeight="1">
      <c r="A237" s="182"/>
      <c r="B237" s="205"/>
      <c r="C237" s="205"/>
      <c r="D237" s="205"/>
      <c r="E237" s="205"/>
      <c r="F237" s="205"/>
    </row>
    <row r="238" ht="13.5" customHeight="1">
      <c r="A238" s="182"/>
      <c r="B238" s="205"/>
      <c r="C238" s="205"/>
      <c r="D238" s="205"/>
      <c r="E238" s="205"/>
      <c r="F238" s="205"/>
    </row>
    <row r="239" ht="13.5" customHeight="1">
      <c r="A239" s="182"/>
      <c r="B239" s="205"/>
      <c r="C239" s="205"/>
      <c r="D239" s="205"/>
      <c r="E239" s="205"/>
      <c r="F239" s="205"/>
    </row>
    <row r="240" ht="13.5" customHeight="1">
      <c r="A240" s="182"/>
      <c r="B240" s="205"/>
      <c r="C240" s="205"/>
      <c r="D240" s="205"/>
      <c r="E240" s="205"/>
      <c r="F240" s="205"/>
    </row>
    <row r="241" ht="13.5" customHeight="1">
      <c r="A241" s="182"/>
      <c r="B241" s="205"/>
      <c r="C241" s="205"/>
      <c r="D241" s="205"/>
      <c r="E241" s="205"/>
      <c r="F241" s="205"/>
    </row>
    <row r="242" ht="13.5" customHeight="1">
      <c r="A242" s="182"/>
      <c r="B242" s="205"/>
      <c r="C242" s="205"/>
      <c r="D242" s="205"/>
      <c r="E242" s="205"/>
      <c r="F242" s="205"/>
    </row>
    <row r="243" ht="13.5" customHeight="1">
      <c r="A243" s="182"/>
      <c r="B243" s="205"/>
      <c r="C243" s="205"/>
      <c r="D243" s="205"/>
      <c r="E243" s="205"/>
      <c r="F243" s="205"/>
    </row>
    <row r="244" ht="13.5" customHeight="1">
      <c r="A244" s="182"/>
      <c r="B244" s="205"/>
      <c r="C244" s="205"/>
      <c r="D244" s="205"/>
      <c r="E244" s="205"/>
      <c r="F244" s="205"/>
    </row>
    <row r="245" ht="13.5" customHeight="1">
      <c r="A245" s="182"/>
      <c r="B245" s="205"/>
      <c r="C245" s="205"/>
      <c r="D245" s="205"/>
      <c r="E245" s="205"/>
      <c r="F245" s="205"/>
    </row>
    <row r="246" ht="13.5" customHeight="1">
      <c r="A246" s="182"/>
      <c r="B246" s="205"/>
      <c r="C246" s="205"/>
      <c r="D246" s="205"/>
      <c r="E246" s="205"/>
      <c r="F246" s="205"/>
    </row>
    <row r="247" ht="13.5" customHeight="1">
      <c r="A247" s="182"/>
      <c r="B247" s="205"/>
      <c r="C247" s="205"/>
      <c r="D247" s="205"/>
      <c r="E247" s="205"/>
      <c r="F247" s="205"/>
    </row>
    <row r="248" ht="13.5" customHeight="1">
      <c r="A248" s="182"/>
      <c r="B248" s="205"/>
      <c r="C248" s="205"/>
      <c r="D248" s="205"/>
      <c r="E248" s="205"/>
      <c r="F248" s="205"/>
    </row>
    <row r="249" ht="13.5" customHeight="1">
      <c r="A249" s="182"/>
      <c r="B249" s="205"/>
      <c r="C249" s="205"/>
      <c r="D249" s="205"/>
      <c r="E249" s="205"/>
      <c r="F249" s="205"/>
    </row>
    <row r="250" ht="13.5" customHeight="1">
      <c r="A250" s="182"/>
      <c r="B250" s="205"/>
      <c r="C250" s="205"/>
      <c r="D250" s="205"/>
      <c r="E250" s="205"/>
      <c r="F250" s="205"/>
    </row>
    <row r="251" ht="13.5" customHeight="1">
      <c r="A251" s="182"/>
      <c r="B251" s="205"/>
      <c r="C251" s="205"/>
      <c r="D251" s="205"/>
      <c r="E251" s="205"/>
      <c r="F251" s="205"/>
    </row>
    <row r="252" ht="13.5" customHeight="1">
      <c r="A252" s="182"/>
      <c r="B252" s="205"/>
      <c r="C252" s="205"/>
      <c r="D252" s="205"/>
      <c r="E252" s="205"/>
      <c r="F252" s="205"/>
    </row>
    <row r="253" ht="13.5" customHeight="1">
      <c r="A253" s="182"/>
      <c r="B253" s="205"/>
      <c r="C253" s="205"/>
      <c r="D253" s="205"/>
      <c r="E253" s="205"/>
      <c r="F253" s="205"/>
    </row>
    <row r="254" ht="13.5" customHeight="1">
      <c r="A254" s="182"/>
      <c r="B254" s="205"/>
      <c r="C254" s="205"/>
      <c r="D254" s="205"/>
      <c r="E254" s="205"/>
      <c r="F254" s="205"/>
    </row>
    <row r="255" ht="13.5" customHeight="1">
      <c r="A255" s="182"/>
      <c r="B255" s="205"/>
      <c r="C255" s="205"/>
      <c r="D255" s="205"/>
      <c r="E255" s="205"/>
      <c r="F255" s="205"/>
    </row>
    <row r="256" ht="13.5" customHeight="1">
      <c r="A256" s="182"/>
      <c r="B256" s="205"/>
      <c r="C256" s="205"/>
      <c r="D256" s="205"/>
      <c r="E256" s="205"/>
      <c r="F256" s="205"/>
    </row>
    <row r="257" ht="13.5" customHeight="1">
      <c r="A257" s="182"/>
      <c r="B257" s="205"/>
      <c r="C257" s="205"/>
      <c r="D257" s="205"/>
      <c r="E257" s="205"/>
      <c r="F257" s="205"/>
    </row>
    <row r="258" ht="13.5" customHeight="1">
      <c r="A258" s="182"/>
      <c r="B258" s="205"/>
      <c r="C258" s="205"/>
      <c r="D258" s="205"/>
      <c r="E258" s="205"/>
      <c r="F258" s="205"/>
    </row>
    <row r="259" ht="13.5" customHeight="1">
      <c r="A259" s="182"/>
      <c r="B259" s="205"/>
      <c r="C259" s="205"/>
      <c r="D259" s="205"/>
      <c r="E259" s="205"/>
      <c r="F259" s="205"/>
    </row>
    <row r="260" ht="13.5" customHeight="1">
      <c r="A260" s="182"/>
      <c r="B260" s="205"/>
      <c r="C260" s="205"/>
      <c r="D260" s="205"/>
      <c r="E260" s="205"/>
      <c r="F260" s="205"/>
    </row>
    <row r="261" ht="13.5" customHeight="1">
      <c r="A261" s="182"/>
      <c r="B261" s="205"/>
      <c r="C261" s="205"/>
      <c r="D261" s="205"/>
      <c r="E261" s="205"/>
      <c r="F261" s="205"/>
    </row>
    <row r="262" ht="13.5" customHeight="1">
      <c r="A262" s="182"/>
      <c r="B262" s="205"/>
      <c r="C262" s="205"/>
      <c r="D262" s="205"/>
      <c r="E262" s="205"/>
      <c r="F262" s="205"/>
    </row>
    <row r="263" ht="13.5" customHeight="1">
      <c r="A263" s="182"/>
      <c r="B263" s="205"/>
      <c r="C263" s="205"/>
      <c r="D263" s="205"/>
      <c r="E263" s="205"/>
      <c r="F263" s="205"/>
    </row>
    <row r="264" ht="13.5" customHeight="1">
      <c r="A264" s="182"/>
      <c r="B264" s="205"/>
      <c r="C264" s="205"/>
      <c r="D264" s="205"/>
      <c r="E264" s="205"/>
      <c r="F264" s="205"/>
    </row>
    <row r="265" ht="13.5" customHeight="1">
      <c r="A265" s="182"/>
      <c r="B265" s="205"/>
      <c r="C265" s="205"/>
      <c r="D265" s="205"/>
      <c r="E265" s="205"/>
      <c r="F265" s="205"/>
    </row>
    <row r="266" ht="13.5" customHeight="1">
      <c r="A266" s="182"/>
      <c r="B266" s="205"/>
      <c r="C266" s="205"/>
      <c r="D266" s="205"/>
      <c r="E266" s="205"/>
      <c r="F266" s="205"/>
    </row>
    <row r="267" ht="13.5" customHeight="1">
      <c r="A267" s="182"/>
      <c r="B267" s="205"/>
      <c r="C267" s="205"/>
      <c r="D267" s="205"/>
      <c r="E267" s="205"/>
      <c r="F267" s="205"/>
    </row>
    <row r="268" ht="13.5" customHeight="1">
      <c r="A268" s="182"/>
      <c r="B268" s="205"/>
      <c r="C268" s="205"/>
      <c r="D268" s="205"/>
      <c r="E268" s="205"/>
      <c r="F268" s="205"/>
    </row>
    <row r="269" ht="13.5" customHeight="1">
      <c r="A269" s="182"/>
      <c r="B269" s="205"/>
      <c r="C269" s="205"/>
      <c r="D269" s="205"/>
      <c r="E269" s="205"/>
      <c r="F269" s="205"/>
    </row>
    <row r="270" ht="13.5" customHeight="1">
      <c r="A270" s="182"/>
      <c r="B270" s="205"/>
      <c r="C270" s="205"/>
      <c r="D270" s="205"/>
      <c r="E270" s="205"/>
      <c r="F270" s="205"/>
    </row>
    <row r="271" ht="13.5" customHeight="1">
      <c r="A271" s="182"/>
      <c r="B271" s="205"/>
      <c r="C271" s="205"/>
      <c r="D271" s="205"/>
      <c r="E271" s="205"/>
      <c r="F271" s="205"/>
    </row>
    <row r="272" ht="13.5" customHeight="1">
      <c r="A272" s="182"/>
      <c r="B272" s="205"/>
      <c r="C272" s="205"/>
      <c r="D272" s="205"/>
      <c r="E272" s="205"/>
      <c r="F272" s="205"/>
    </row>
    <row r="273" ht="13.5" customHeight="1">
      <c r="A273" s="182"/>
      <c r="B273" s="205"/>
      <c r="C273" s="205"/>
      <c r="D273" s="205"/>
      <c r="E273" s="205"/>
      <c r="F273" s="205"/>
    </row>
    <row r="274" ht="13.5" customHeight="1">
      <c r="A274" s="182"/>
      <c r="B274" s="205"/>
      <c r="C274" s="205"/>
      <c r="D274" s="205"/>
      <c r="E274" s="205"/>
      <c r="F274" s="205"/>
    </row>
    <row r="275" ht="13.5" customHeight="1">
      <c r="A275" s="182"/>
      <c r="B275" s="205"/>
      <c r="C275" s="205"/>
      <c r="D275" s="205"/>
      <c r="E275" s="205"/>
      <c r="F275" s="205"/>
    </row>
    <row r="276" ht="13.5" customHeight="1">
      <c r="A276" s="182"/>
      <c r="B276" s="205"/>
      <c r="C276" s="205"/>
      <c r="D276" s="205"/>
      <c r="E276" s="205"/>
      <c r="F276" s="205"/>
    </row>
    <row r="277" ht="13.5" customHeight="1">
      <c r="A277" s="182"/>
      <c r="B277" s="205"/>
      <c r="C277" s="205"/>
      <c r="D277" s="205"/>
      <c r="E277" s="205"/>
      <c r="F277" s="205"/>
    </row>
    <row r="278" ht="13.5" customHeight="1">
      <c r="A278" s="182"/>
      <c r="B278" s="205"/>
      <c r="C278" s="205"/>
      <c r="D278" s="205"/>
      <c r="E278" s="205"/>
      <c r="F278" s="205"/>
    </row>
    <row r="279" ht="13.5" customHeight="1">
      <c r="A279" s="182"/>
      <c r="B279" s="205"/>
      <c r="C279" s="205"/>
      <c r="D279" s="205"/>
      <c r="E279" s="205"/>
      <c r="F279" s="205"/>
    </row>
    <row r="280" ht="13.5" customHeight="1">
      <c r="A280" s="182"/>
      <c r="B280" s="205"/>
      <c r="C280" s="205"/>
      <c r="D280" s="205"/>
      <c r="E280" s="205"/>
      <c r="F280" s="205"/>
    </row>
    <row r="281" ht="13.5" customHeight="1">
      <c r="A281" s="182"/>
      <c r="B281" s="205"/>
      <c r="C281" s="205"/>
      <c r="D281" s="205"/>
      <c r="E281" s="205"/>
      <c r="F281" s="205"/>
    </row>
    <row r="282" ht="13.5" customHeight="1">
      <c r="A282" s="182"/>
      <c r="B282" s="205"/>
      <c r="C282" s="205"/>
      <c r="D282" s="205"/>
      <c r="E282" s="205"/>
      <c r="F282" s="205"/>
    </row>
    <row r="283" ht="13.5" customHeight="1">
      <c r="A283" s="182"/>
      <c r="B283" s="205"/>
      <c r="C283" s="205"/>
      <c r="D283" s="205"/>
      <c r="E283" s="205"/>
      <c r="F283" s="205"/>
    </row>
    <row r="284" ht="13.5" customHeight="1">
      <c r="A284" s="182"/>
      <c r="B284" s="205"/>
      <c r="C284" s="205"/>
      <c r="D284" s="205"/>
      <c r="E284" s="205"/>
      <c r="F284" s="205"/>
    </row>
    <row r="285" ht="13.5" customHeight="1">
      <c r="A285" s="182"/>
      <c r="B285" s="205"/>
      <c r="C285" s="205"/>
      <c r="D285" s="205"/>
      <c r="E285" s="205"/>
      <c r="F285" s="205"/>
    </row>
    <row r="286" ht="13.5" customHeight="1">
      <c r="A286" s="182"/>
      <c r="B286" s="205"/>
      <c r="C286" s="205"/>
      <c r="D286" s="205"/>
      <c r="E286" s="205"/>
      <c r="F286" s="205"/>
    </row>
    <row r="287" ht="13.5" customHeight="1">
      <c r="A287" s="182"/>
      <c r="B287" s="205"/>
      <c r="C287" s="205"/>
      <c r="D287" s="205"/>
      <c r="E287" s="205"/>
      <c r="F287" s="205"/>
    </row>
    <row r="288" ht="13.5" customHeight="1">
      <c r="A288" s="182"/>
      <c r="B288" s="205"/>
      <c r="C288" s="205"/>
      <c r="D288" s="205"/>
      <c r="E288" s="205"/>
      <c r="F288" s="205"/>
    </row>
    <row r="289" ht="13.5" customHeight="1">
      <c r="A289" s="182"/>
      <c r="B289" s="205"/>
      <c r="C289" s="205"/>
      <c r="D289" s="205"/>
      <c r="E289" s="205"/>
      <c r="F289" s="205"/>
    </row>
    <row r="290" ht="13.5" customHeight="1">
      <c r="A290" s="182"/>
      <c r="B290" s="205"/>
      <c r="C290" s="205"/>
      <c r="D290" s="205"/>
      <c r="E290" s="205"/>
      <c r="F290" s="205"/>
    </row>
    <row r="291" ht="13.5" customHeight="1">
      <c r="A291" s="182"/>
      <c r="B291" s="205"/>
      <c r="C291" s="205"/>
      <c r="D291" s="205"/>
      <c r="E291" s="205"/>
      <c r="F291" s="205"/>
    </row>
    <row r="292" ht="13.5" customHeight="1">
      <c r="A292" s="182"/>
      <c r="B292" s="205"/>
      <c r="C292" s="205"/>
      <c r="D292" s="205"/>
      <c r="E292" s="205"/>
      <c r="F292" s="205"/>
    </row>
    <row r="293" ht="13.5" customHeight="1">
      <c r="A293" s="182"/>
      <c r="B293" s="205"/>
      <c r="C293" s="205"/>
      <c r="D293" s="205"/>
      <c r="E293" s="205"/>
      <c r="F293" s="205"/>
    </row>
    <row r="294" ht="13.5" customHeight="1">
      <c r="A294" s="182"/>
      <c r="B294" s="205"/>
      <c r="C294" s="205"/>
      <c r="D294" s="205"/>
      <c r="E294" s="205"/>
      <c r="F294" s="205"/>
    </row>
    <row r="295" ht="13.5" customHeight="1">
      <c r="A295" s="182"/>
      <c r="B295" s="205"/>
      <c r="C295" s="205"/>
      <c r="D295" s="205"/>
      <c r="E295" s="205"/>
      <c r="F295" s="205"/>
    </row>
    <row r="296" ht="13.5" customHeight="1">
      <c r="A296" s="182"/>
      <c r="B296" s="205"/>
      <c r="C296" s="205"/>
      <c r="D296" s="205"/>
      <c r="E296" s="205"/>
      <c r="F296" s="205"/>
    </row>
    <row r="297" ht="13.5" customHeight="1">
      <c r="A297" s="182"/>
      <c r="B297" s="205"/>
      <c r="C297" s="205"/>
      <c r="D297" s="205"/>
      <c r="E297" s="205"/>
      <c r="F297" s="205"/>
    </row>
    <row r="298" ht="13.5" customHeight="1">
      <c r="A298" s="182"/>
      <c r="B298" s="205"/>
      <c r="C298" s="205"/>
      <c r="D298" s="205"/>
      <c r="E298" s="205"/>
      <c r="F298" s="205"/>
    </row>
    <row r="299" ht="13.5" customHeight="1">
      <c r="A299" s="182"/>
      <c r="B299" s="205"/>
      <c r="C299" s="205"/>
      <c r="D299" s="205"/>
      <c r="E299" s="205"/>
      <c r="F299" s="205"/>
    </row>
    <row r="300" ht="13.5" customHeight="1">
      <c r="A300" s="182"/>
      <c r="B300" s="205"/>
      <c r="C300" s="205"/>
      <c r="D300" s="205"/>
      <c r="E300" s="205"/>
      <c r="F300" s="205"/>
    </row>
    <row r="301" ht="13.5" customHeight="1">
      <c r="A301" s="182"/>
      <c r="B301" s="205"/>
      <c r="C301" s="205"/>
      <c r="D301" s="205"/>
      <c r="E301" s="205"/>
      <c r="F301" s="205"/>
    </row>
    <row r="302" ht="13.5" customHeight="1">
      <c r="A302" s="182"/>
      <c r="B302" s="205"/>
      <c r="C302" s="205"/>
      <c r="D302" s="205"/>
      <c r="E302" s="205"/>
      <c r="F302" s="205"/>
    </row>
    <row r="303" ht="13.5" customHeight="1">
      <c r="A303" s="182"/>
      <c r="B303" s="205"/>
      <c r="C303" s="205"/>
      <c r="D303" s="205"/>
      <c r="E303" s="205"/>
      <c r="F303" s="205"/>
    </row>
    <row r="304" ht="13.5" customHeight="1">
      <c r="A304" s="182"/>
      <c r="B304" s="205"/>
      <c r="C304" s="205"/>
      <c r="D304" s="205"/>
      <c r="E304" s="205"/>
      <c r="F304" s="205"/>
    </row>
    <row r="305" ht="13.5" customHeight="1">
      <c r="A305" s="182"/>
      <c r="B305" s="205"/>
      <c r="C305" s="205"/>
      <c r="D305" s="205"/>
      <c r="E305" s="205"/>
      <c r="F305" s="205"/>
    </row>
    <row r="306" ht="13.5" customHeight="1">
      <c r="A306" s="182"/>
      <c r="B306" s="205"/>
      <c r="C306" s="205"/>
      <c r="D306" s="205"/>
      <c r="E306" s="205"/>
      <c r="F306" s="205"/>
    </row>
    <row r="307" ht="13.5" customHeight="1">
      <c r="A307" s="182"/>
      <c r="B307" s="205"/>
      <c r="C307" s="205"/>
      <c r="D307" s="205"/>
      <c r="E307" s="205"/>
      <c r="F307" s="205"/>
    </row>
    <row r="308" ht="13.5" customHeight="1">
      <c r="A308" s="182"/>
      <c r="B308" s="205"/>
      <c r="C308" s="205"/>
      <c r="D308" s="205"/>
      <c r="E308" s="205"/>
      <c r="F308" s="205"/>
    </row>
    <row r="309" ht="13.5" customHeight="1">
      <c r="A309" s="182"/>
      <c r="B309" s="205"/>
      <c r="C309" s="205"/>
      <c r="D309" s="205"/>
      <c r="E309" s="205"/>
      <c r="F309" s="205"/>
    </row>
    <row r="310" ht="13.5" customHeight="1">
      <c r="A310" s="182"/>
      <c r="B310" s="205"/>
      <c r="C310" s="205"/>
      <c r="D310" s="205"/>
      <c r="E310" s="205"/>
      <c r="F310" s="205"/>
    </row>
    <row r="311" ht="13.5" customHeight="1">
      <c r="A311" s="182"/>
      <c r="B311" s="205"/>
      <c r="C311" s="205"/>
      <c r="D311" s="205"/>
      <c r="E311" s="205"/>
      <c r="F311" s="205"/>
    </row>
    <row r="312" ht="13.5" customHeight="1">
      <c r="A312" s="182"/>
      <c r="B312" s="205"/>
      <c r="C312" s="205"/>
      <c r="D312" s="205"/>
      <c r="E312" s="205"/>
      <c r="F312" s="205"/>
    </row>
    <row r="313" ht="13.5" customHeight="1">
      <c r="A313" s="182"/>
      <c r="B313" s="205"/>
      <c r="C313" s="205"/>
      <c r="D313" s="205"/>
      <c r="E313" s="205"/>
      <c r="F313" s="205"/>
    </row>
    <row r="314" ht="13.5" customHeight="1">
      <c r="A314" s="182"/>
      <c r="B314" s="205"/>
      <c r="C314" s="205"/>
      <c r="D314" s="205"/>
      <c r="E314" s="205"/>
      <c r="F314" s="205"/>
    </row>
    <row r="315" ht="13.5" customHeight="1">
      <c r="A315" s="182"/>
      <c r="B315" s="205"/>
      <c r="C315" s="205"/>
      <c r="D315" s="205"/>
      <c r="E315" s="205"/>
      <c r="F315" s="205"/>
    </row>
    <row r="316" ht="13.5" customHeight="1">
      <c r="A316" s="182"/>
      <c r="B316" s="205"/>
      <c r="C316" s="205"/>
      <c r="D316" s="205"/>
      <c r="E316" s="205"/>
      <c r="F316" s="205"/>
    </row>
    <row r="317" ht="13.5" customHeight="1">
      <c r="A317" s="182"/>
      <c r="B317" s="205"/>
      <c r="C317" s="205"/>
      <c r="D317" s="205"/>
      <c r="E317" s="205"/>
      <c r="F317" s="205"/>
    </row>
    <row r="318" ht="13.5" customHeight="1">
      <c r="A318" s="182"/>
      <c r="B318" s="205"/>
      <c r="C318" s="205"/>
      <c r="D318" s="205"/>
      <c r="E318" s="205"/>
      <c r="F318" s="205"/>
    </row>
    <row r="319" ht="13.5" customHeight="1">
      <c r="A319" s="182"/>
      <c r="B319" s="205"/>
      <c r="C319" s="205"/>
      <c r="D319" s="205"/>
      <c r="E319" s="205"/>
      <c r="F319" s="205"/>
    </row>
    <row r="320" ht="13.5" customHeight="1">
      <c r="A320" s="182"/>
      <c r="B320" s="205"/>
      <c r="C320" s="205"/>
      <c r="D320" s="205"/>
      <c r="E320" s="205"/>
      <c r="F320" s="205"/>
    </row>
    <row r="321" ht="13.5" customHeight="1">
      <c r="A321" s="182"/>
      <c r="B321" s="205"/>
      <c r="C321" s="205"/>
      <c r="D321" s="205"/>
      <c r="E321" s="205"/>
      <c r="F321" s="205"/>
    </row>
    <row r="322" ht="13.5" customHeight="1">
      <c r="A322" s="182"/>
      <c r="B322" s="205"/>
      <c r="C322" s="205"/>
      <c r="D322" s="205"/>
      <c r="E322" s="205"/>
      <c r="F322" s="205"/>
    </row>
    <row r="323" ht="13.5" customHeight="1">
      <c r="A323" s="182"/>
      <c r="B323" s="205"/>
      <c r="C323" s="205"/>
      <c r="D323" s="205"/>
      <c r="E323" s="205"/>
      <c r="F323" s="205"/>
    </row>
    <row r="324" ht="13.5" customHeight="1">
      <c r="A324" s="182"/>
      <c r="B324" s="205"/>
      <c r="C324" s="205"/>
      <c r="D324" s="205"/>
      <c r="E324" s="205"/>
      <c r="F324" s="205"/>
    </row>
    <row r="325" ht="13.5" customHeight="1">
      <c r="A325" s="182"/>
      <c r="B325" s="205"/>
      <c r="C325" s="205"/>
      <c r="D325" s="205"/>
      <c r="E325" s="205"/>
      <c r="F325" s="205"/>
    </row>
    <row r="326" ht="13.5" customHeight="1">
      <c r="A326" s="182"/>
      <c r="B326" s="205"/>
      <c r="C326" s="205"/>
      <c r="D326" s="205"/>
      <c r="E326" s="205"/>
      <c r="F326" s="205"/>
    </row>
    <row r="327" ht="13.5" customHeight="1">
      <c r="A327" s="182"/>
      <c r="B327" s="205"/>
      <c r="C327" s="205"/>
      <c r="D327" s="205"/>
      <c r="E327" s="205"/>
      <c r="F327" s="205"/>
    </row>
    <row r="328" ht="13.5" customHeight="1">
      <c r="A328" s="182"/>
      <c r="B328" s="205"/>
      <c r="C328" s="205"/>
      <c r="D328" s="205"/>
      <c r="E328" s="205"/>
      <c r="F328" s="205"/>
    </row>
    <row r="329" ht="13.5" customHeight="1">
      <c r="A329" s="182"/>
      <c r="B329" s="205"/>
      <c r="C329" s="205"/>
      <c r="D329" s="205"/>
      <c r="E329" s="205"/>
      <c r="F329" s="205"/>
    </row>
    <row r="330" ht="13.5" customHeight="1">
      <c r="A330" s="182"/>
      <c r="B330" s="205"/>
      <c r="C330" s="205"/>
      <c r="D330" s="205"/>
      <c r="E330" s="205"/>
      <c r="F330" s="205"/>
    </row>
    <row r="331" ht="13.5" customHeight="1">
      <c r="A331" s="182"/>
      <c r="B331" s="205"/>
      <c r="C331" s="205"/>
      <c r="D331" s="205"/>
      <c r="E331" s="205"/>
      <c r="F331" s="205"/>
    </row>
    <row r="332" ht="13.5" customHeight="1">
      <c r="A332" s="182"/>
      <c r="B332" s="205"/>
      <c r="C332" s="205"/>
      <c r="D332" s="205"/>
      <c r="E332" s="205"/>
      <c r="F332" s="205"/>
    </row>
    <row r="333" ht="13.5" customHeight="1">
      <c r="A333" s="182"/>
      <c r="B333" s="205"/>
      <c r="C333" s="205"/>
      <c r="D333" s="205"/>
      <c r="E333" s="205"/>
      <c r="F333" s="205"/>
    </row>
    <row r="334" ht="13.5" customHeight="1">
      <c r="A334" s="182"/>
      <c r="B334" s="205"/>
      <c r="C334" s="205"/>
      <c r="D334" s="205"/>
      <c r="E334" s="205"/>
      <c r="F334" s="205"/>
    </row>
    <row r="335" ht="13.5" customHeight="1">
      <c r="A335" s="182"/>
      <c r="B335" s="205"/>
      <c r="C335" s="205"/>
      <c r="D335" s="205"/>
      <c r="E335" s="205"/>
      <c r="F335" s="205"/>
    </row>
    <row r="336" ht="13.5" customHeight="1">
      <c r="A336" s="182"/>
      <c r="B336" s="205"/>
      <c r="C336" s="205"/>
      <c r="D336" s="205"/>
      <c r="E336" s="205"/>
      <c r="F336" s="205"/>
    </row>
    <row r="337" ht="13.5" customHeight="1">
      <c r="A337" s="182"/>
      <c r="B337" s="205"/>
      <c r="C337" s="205"/>
      <c r="D337" s="205"/>
      <c r="E337" s="205"/>
      <c r="F337" s="205"/>
    </row>
    <row r="338" ht="13.5" customHeight="1">
      <c r="A338" s="182"/>
      <c r="B338" s="205"/>
      <c r="C338" s="205"/>
      <c r="D338" s="205"/>
      <c r="E338" s="205"/>
      <c r="F338" s="205"/>
    </row>
    <row r="339" ht="13.5" customHeight="1">
      <c r="A339" s="182"/>
      <c r="B339" s="205"/>
      <c r="C339" s="205"/>
      <c r="D339" s="205"/>
      <c r="E339" s="205"/>
      <c r="F339" s="205"/>
    </row>
    <row r="340" ht="13.5" customHeight="1">
      <c r="A340" s="182"/>
      <c r="B340" s="205"/>
      <c r="C340" s="205"/>
      <c r="D340" s="205"/>
      <c r="E340" s="205"/>
      <c r="F340" s="205"/>
    </row>
    <row r="341" ht="13.5" customHeight="1">
      <c r="A341" s="182"/>
      <c r="B341" s="205"/>
      <c r="C341" s="205"/>
      <c r="D341" s="205"/>
      <c r="E341" s="205"/>
      <c r="F341" s="205"/>
    </row>
    <row r="342" ht="13.5" customHeight="1">
      <c r="A342" s="182"/>
      <c r="B342" s="205"/>
      <c r="C342" s="205"/>
      <c r="D342" s="205"/>
      <c r="E342" s="205"/>
      <c r="F342" s="205"/>
    </row>
    <row r="343" ht="13.5" customHeight="1">
      <c r="A343" s="182"/>
      <c r="B343" s="205"/>
      <c r="C343" s="205"/>
      <c r="D343" s="205"/>
      <c r="E343" s="205"/>
      <c r="F343" s="205"/>
    </row>
    <row r="344" ht="13.5" customHeight="1">
      <c r="A344" s="182"/>
      <c r="B344" s="205"/>
      <c r="C344" s="205"/>
      <c r="D344" s="205"/>
      <c r="E344" s="205"/>
      <c r="F344" s="205"/>
    </row>
    <row r="345" ht="13.5" customHeight="1">
      <c r="A345" s="182"/>
      <c r="B345" s="205"/>
      <c r="C345" s="205"/>
      <c r="D345" s="205"/>
      <c r="E345" s="205"/>
      <c r="F345" s="205"/>
    </row>
    <row r="346" ht="13.5" customHeight="1">
      <c r="A346" s="182"/>
      <c r="B346" s="205"/>
      <c r="C346" s="205"/>
      <c r="D346" s="205"/>
      <c r="E346" s="205"/>
      <c r="F346" s="205"/>
    </row>
    <row r="347" ht="13.5" customHeight="1">
      <c r="A347" s="182"/>
      <c r="B347" s="205"/>
      <c r="C347" s="205"/>
      <c r="D347" s="205"/>
      <c r="E347" s="205"/>
      <c r="F347" s="205"/>
    </row>
    <row r="348" ht="13.5" customHeight="1">
      <c r="A348" s="182"/>
      <c r="B348" s="205"/>
      <c r="C348" s="205"/>
      <c r="D348" s="205"/>
      <c r="E348" s="205"/>
      <c r="F348" s="205"/>
    </row>
    <row r="349" ht="13.5" customHeight="1">
      <c r="A349" s="182"/>
      <c r="B349" s="205"/>
      <c r="C349" s="205"/>
      <c r="D349" s="205"/>
      <c r="E349" s="205"/>
      <c r="F349" s="205"/>
    </row>
    <row r="350" ht="13.5" customHeight="1">
      <c r="A350" s="182"/>
      <c r="B350" s="205"/>
      <c r="C350" s="205"/>
      <c r="D350" s="205"/>
      <c r="E350" s="205"/>
      <c r="F350" s="205"/>
    </row>
    <row r="351" ht="13.5" customHeight="1">
      <c r="A351" s="182"/>
      <c r="B351" s="205"/>
      <c r="C351" s="205"/>
      <c r="D351" s="205"/>
      <c r="E351" s="205"/>
      <c r="F351" s="205"/>
    </row>
    <row r="352" ht="13.5" customHeight="1">
      <c r="A352" s="182"/>
      <c r="B352" s="205"/>
      <c r="C352" s="205"/>
      <c r="D352" s="205"/>
      <c r="E352" s="205"/>
      <c r="F352" s="205"/>
    </row>
    <row r="353" ht="13.5" customHeight="1">
      <c r="A353" s="182"/>
      <c r="B353" s="205"/>
      <c r="C353" s="205"/>
      <c r="D353" s="205"/>
      <c r="E353" s="205"/>
      <c r="F353" s="205"/>
    </row>
    <row r="354" ht="13.5" customHeight="1">
      <c r="A354" s="182"/>
      <c r="B354" s="205"/>
      <c r="C354" s="205"/>
      <c r="D354" s="205"/>
      <c r="E354" s="205"/>
      <c r="F354" s="205"/>
    </row>
    <row r="355" ht="13.5" customHeight="1">
      <c r="A355" s="182"/>
      <c r="B355" s="205"/>
      <c r="C355" s="205"/>
      <c r="D355" s="205"/>
      <c r="E355" s="205"/>
      <c r="F355" s="205"/>
    </row>
    <row r="356" ht="13.5" customHeight="1">
      <c r="A356" s="182"/>
      <c r="B356" s="205"/>
      <c r="C356" s="205"/>
      <c r="D356" s="205"/>
      <c r="E356" s="205"/>
      <c r="F356" s="205"/>
    </row>
    <row r="357" ht="13.5" customHeight="1">
      <c r="A357" s="182"/>
      <c r="B357" s="205"/>
      <c r="C357" s="205"/>
      <c r="D357" s="205"/>
      <c r="E357" s="205"/>
      <c r="F357" s="205"/>
    </row>
    <row r="358" ht="13.5" customHeight="1">
      <c r="A358" s="182"/>
      <c r="B358" s="205"/>
      <c r="C358" s="205"/>
      <c r="D358" s="205"/>
      <c r="E358" s="205"/>
      <c r="F358" s="205"/>
    </row>
    <row r="359" ht="13.5" customHeight="1">
      <c r="A359" s="182"/>
      <c r="B359" s="205"/>
      <c r="C359" s="205"/>
      <c r="D359" s="205"/>
      <c r="E359" s="205"/>
      <c r="F359" s="205"/>
    </row>
    <row r="360" ht="13.5" customHeight="1">
      <c r="A360" s="182"/>
      <c r="B360" s="205"/>
      <c r="C360" s="205"/>
      <c r="D360" s="205"/>
      <c r="E360" s="205"/>
      <c r="F360" s="205"/>
    </row>
    <row r="361" ht="13.5" customHeight="1">
      <c r="A361" s="182"/>
      <c r="B361" s="205"/>
      <c r="C361" s="205"/>
      <c r="D361" s="205"/>
      <c r="E361" s="205"/>
      <c r="F361" s="205"/>
    </row>
    <row r="362" ht="13.5" customHeight="1">
      <c r="A362" s="182"/>
      <c r="B362" s="205"/>
      <c r="C362" s="205"/>
      <c r="D362" s="205"/>
      <c r="E362" s="205"/>
      <c r="F362" s="205"/>
    </row>
    <row r="363" ht="13.5" customHeight="1">
      <c r="A363" s="182"/>
      <c r="B363" s="205"/>
      <c r="C363" s="205"/>
      <c r="D363" s="205"/>
      <c r="E363" s="205"/>
      <c r="F363" s="205"/>
    </row>
    <row r="364" ht="13.5" customHeight="1">
      <c r="A364" s="182"/>
      <c r="B364" s="205"/>
      <c r="C364" s="205"/>
      <c r="D364" s="205"/>
      <c r="E364" s="205"/>
      <c r="F364" s="205"/>
    </row>
    <row r="365" ht="13.5" customHeight="1">
      <c r="A365" s="182"/>
      <c r="B365" s="205"/>
      <c r="C365" s="205"/>
      <c r="D365" s="205"/>
      <c r="E365" s="205"/>
      <c r="F365" s="205"/>
    </row>
    <row r="366" ht="13.5" customHeight="1">
      <c r="A366" s="182"/>
      <c r="B366" s="205"/>
      <c r="C366" s="205"/>
      <c r="D366" s="205"/>
      <c r="E366" s="205"/>
      <c r="F366" s="205"/>
    </row>
    <row r="367" ht="13.5" customHeight="1">
      <c r="A367" s="182"/>
      <c r="B367" s="205"/>
      <c r="C367" s="205"/>
      <c r="D367" s="205"/>
      <c r="E367" s="205"/>
      <c r="F367" s="205"/>
    </row>
    <row r="368" ht="13.5" customHeight="1">
      <c r="A368" s="182"/>
      <c r="B368" s="205"/>
      <c r="C368" s="205"/>
      <c r="D368" s="205"/>
      <c r="E368" s="205"/>
      <c r="F368" s="205"/>
    </row>
    <row r="369" ht="13.5" customHeight="1">
      <c r="A369" s="182"/>
      <c r="B369" s="205"/>
      <c r="C369" s="205"/>
      <c r="D369" s="205"/>
      <c r="E369" s="205"/>
      <c r="F369" s="205"/>
    </row>
    <row r="370" ht="13.5" customHeight="1">
      <c r="A370" s="182"/>
      <c r="B370" s="205"/>
      <c r="C370" s="205"/>
      <c r="D370" s="205"/>
      <c r="E370" s="205"/>
      <c r="F370" s="205"/>
    </row>
    <row r="371" ht="13.5" customHeight="1">
      <c r="A371" s="182"/>
      <c r="B371" s="205"/>
      <c r="C371" s="205"/>
      <c r="D371" s="205"/>
      <c r="E371" s="205"/>
      <c r="F371" s="205"/>
    </row>
    <row r="372" ht="13.5" customHeight="1">
      <c r="A372" s="182"/>
      <c r="B372" s="205"/>
      <c r="C372" s="205"/>
      <c r="D372" s="205"/>
      <c r="E372" s="205"/>
      <c r="F372" s="205"/>
    </row>
    <row r="373" ht="13.5" customHeight="1">
      <c r="A373" s="182"/>
      <c r="B373" s="205"/>
      <c r="C373" s="205"/>
      <c r="D373" s="205"/>
      <c r="E373" s="205"/>
      <c r="F373" s="205"/>
    </row>
    <row r="374" ht="13.5" customHeight="1">
      <c r="A374" s="182"/>
      <c r="B374" s="205"/>
      <c r="C374" s="205"/>
      <c r="D374" s="205"/>
      <c r="E374" s="205"/>
      <c r="F374" s="205"/>
    </row>
    <row r="375" ht="13.5" customHeight="1">
      <c r="A375" s="182"/>
      <c r="B375" s="205"/>
      <c r="C375" s="205"/>
      <c r="D375" s="205"/>
      <c r="E375" s="205"/>
      <c r="F375" s="205"/>
    </row>
    <row r="376" ht="13.5" customHeight="1">
      <c r="A376" s="182"/>
      <c r="B376" s="205"/>
      <c r="C376" s="205"/>
      <c r="D376" s="205"/>
      <c r="E376" s="205"/>
      <c r="F376" s="205"/>
    </row>
    <row r="377" ht="13.5" customHeight="1">
      <c r="A377" s="182"/>
      <c r="B377" s="205"/>
      <c r="C377" s="205"/>
      <c r="D377" s="205"/>
      <c r="E377" s="205"/>
      <c r="F377" s="205"/>
    </row>
    <row r="378" ht="13.5" customHeight="1">
      <c r="A378" s="182"/>
      <c r="B378" s="205"/>
      <c r="C378" s="205"/>
      <c r="D378" s="205"/>
      <c r="E378" s="205"/>
      <c r="F378" s="205"/>
    </row>
    <row r="379" ht="13.5" customHeight="1">
      <c r="A379" s="182"/>
      <c r="B379" s="205"/>
      <c r="C379" s="205"/>
      <c r="D379" s="205"/>
      <c r="E379" s="205"/>
      <c r="F379" s="205"/>
    </row>
    <row r="380" ht="13.5" customHeight="1">
      <c r="A380" s="182"/>
      <c r="B380" s="205"/>
      <c r="C380" s="205"/>
      <c r="D380" s="205"/>
      <c r="E380" s="205"/>
      <c r="F380" s="205"/>
    </row>
    <row r="381" ht="13.5" customHeight="1">
      <c r="A381" s="182"/>
      <c r="B381" s="205"/>
      <c r="C381" s="205"/>
      <c r="D381" s="205"/>
      <c r="E381" s="205"/>
      <c r="F381" s="205"/>
    </row>
    <row r="382" ht="13.5" customHeight="1">
      <c r="A382" s="182"/>
      <c r="B382" s="205"/>
      <c r="C382" s="205"/>
      <c r="D382" s="205"/>
      <c r="E382" s="205"/>
      <c r="F382" s="205"/>
    </row>
    <row r="383" ht="13.5" customHeight="1">
      <c r="A383" s="182"/>
      <c r="B383" s="205"/>
      <c r="C383" s="205"/>
      <c r="D383" s="205"/>
      <c r="E383" s="205"/>
      <c r="F383" s="205"/>
    </row>
    <row r="384" ht="13.5" customHeight="1">
      <c r="A384" s="182"/>
      <c r="B384" s="205"/>
      <c r="C384" s="205"/>
      <c r="D384" s="205"/>
      <c r="E384" s="205"/>
      <c r="F384" s="205"/>
    </row>
    <row r="385" ht="13.5" customHeight="1">
      <c r="A385" s="182"/>
      <c r="B385" s="205"/>
      <c r="C385" s="205"/>
      <c r="D385" s="205"/>
      <c r="E385" s="205"/>
      <c r="F385" s="205"/>
    </row>
    <row r="386" ht="13.5" customHeight="1">
      <c r="A386" s="182"/>
      <c r="B386" s="205"/>
      <c r="C386" s="205"/>
      <c r="D386" s="205"/>
      <c r="E386" s="205"/>
      <c r="F386" s="205"/>
    </row>
    <row r="387" ht="13.5" customHeight="1">
      <c r="A387" s="182"/>
      <c r="B387" s="205"/>
      <c r="C387" s="205"/>
      <c r="D387" s="205"/>
      <c r="E387" s="205"/>
      <c r="F387" s="205"/>
    </row>
    <row r="388" ht="13.5" customHeight="1">
      <c r="A388" s="182"/>
      <c r="B388" s="205"/>
      <c r="C388" s="205"/>
      <c r="D388" s="205"/>
      <c r="E388" s="205"/>
      <c r="F388" s="205"/>
    </row>
    <row r="389" ht="13.5" customHeight="1">
      <c r="A389" s="182"/>
      <c r="B389" s="205"/>
      <c r="C389" s="205"/>
      <c r="D389" s="205"/>
      <c r="E389" s="205"/>
      <c r="F389" s="205"/>
    </row>
    <row r="390" ht="13.5" customHeight="1">
      <c r="A390" s="182"/>
      <c r="B390" s="205"/>
      <c r="C390" s="205"/>
      <c r="D390" s="205"/>
      <c r="E390" s="205"/>
      <c r="F390" s="205"/>
    </row>
    <row r="391" ht="13.5" customHeight="1">
      <c r="A391" s="182"/>
      <c r="B391" s="205"/>
      <c r="C391" s="205"/>
      <c r="D391" s="205"/>
      <c r="E391" s="205"/>
      <c r="F391" s="205"/>
    </row>
    <row r="392" ht="13.5" customHeight="1">
      <c r="A392" s="182"/>
      <c r="B392" s="205"/>
      <c r="C392" s="205"/>
      <c r="D392" s="205"/>
      <c r="E392" s="205"/>
      <c r="F392" s="205"/>
    </row>
    <row r="393" ht="13.5" customHeight="1">
      <c r="A393" s="182"/>
      <c r="B393" s="205"/>
      <c r="C393" s="205"/>
      <c r="D393" s="205"/>
      <c r="E393" s="205"/>
      <c r="F393" s="205"/>
    </row>
    <row r="394" ht="13.5" customHeight="1">
      <c r="A394" s="182"/>
      <c r="B394" s="205"/>
      <c r="C394" s="205"/>
      <c r="D394" s="205"/>
      <c r="E394" s="205"/>
      <c r="F394" s="205"/>
    </row>
    <row r="395" ht="13.5" customHeight="1">
      <c r="A395" s="182"/>
      <c r="B395" s="205"/>
      <c r="C395" s="205"/>
      <c r="D395" s="205"/>
      <c r="E395" s="205"/>
      <c r="F395" s="205"/>
    </row>
    <row r="396" ht="13.5" customHeight="1">
      <c r="A396" s="182"/>
      <c r="B396" s="205"/>
      <c r="C396" s="205"/>
      <c r="D396" s="205"/>
      <c r="E396" s="205"/>
      <c r="F396" s="205"/>
    </row>
    <row r="397" ht="13.5" customHeight="1">
      <c r="A397" s="182"/>
      <c r="B397" s="205"/>
      <c r="C397" s="205"/>
      <c r="D397" s="205"/>
      <c r="E397" s="205"/>
      <c r="F397" s="205"/>
    </row>
    <row r="398" ht="13.5" customHeight="1">
      <c r="A398" s="182"/>
      <c r="B398" s="205"/>
      <c r="C398" s="205"/>
      <c r="D398" s="205"/>
      <c r="E398" s="205"/>
      <c r="F398" s="205"/>
    </row>
    <row r="399" ht="13.5" customHeight="1">
      <c r="A399" s="182"/>
      <c r="B399" s="205"/>
      <c r="C399" s="205"/>
      <c r="D399" s="205"/>
      <c r="E399" s="205"/>
      <c r="F399" s="205"/>
    </row>
    <row r="400" ht="13.5" customHeight="1">
      <c r="A400" s="182"/>
      <c r="B400" s="205"/>
      <c r="C400" s="205"/>
      <c r="D400" s="205"/>
      <c r="E400" s="205"/>
      <c r="F400" s="205"/>
    </row>
    <row r="401" ht="13.5" customHeight="1">
      <c r="A401" s="182"/>
      <c r="B401" s="205"/>
      <c r="C401" s="205"/>
      <c r="D401" s="205"/>
      <c r="E401" s="205"/>
      <c r="F401" s="205"/>
    </row>
    <row r="402" ht="13.5" customHeight="1">
      <c r="A402" s="182"/>
      <c r="B402" s="205"/>
      <c r="C402" s="205"/>
      <c r="D402" s="205"/>
      <c r="E402" s="205"/>
      <c r="F402" s="205"/>
    </row>
    <row r="403" ht="13.5" customHeight="1">
      <c r="A403" s="182"/>
      <c r="B403" s="205"/>
      <c r="C403" s="205"/>
      <c r="D403" s="205"/>
      <c r="E403" s="205"/>
      <c r="F403" s="205"/>
    </row>
    <row r="404" ht="13.5" customHeight="1">
      <c r="A404" s="182"/>
      <c r="B404" s="205"/>
      <c r="C404" s="205"/>
      <c r="D404" s="205"/>
      <c r="E404" s="205"/>
      <c r="F404" s="205"/>
    </row>
    <row r="405" ht="13.5" customHeight="1">
      <c r="A405" s="182"/>
      <c r="B405" s="205"/>
      <c r="C405" s="205"/>
      <c r="D405" s="205"/>
      <c r="E405" s="205"/>
      <c r="F405" s="205"/>
    </row>
    <row r="406" ht="13.5" customHeight="1">
      <c r="A406" s="182"/>
      <c r="B406" s="205"/>
      <c r="C406" s="205"/>
      <c r="D406" s="205"/>
      <c r="E406" s="205"/>
      <c r="F406" s="205"/>
    </row>
    <row r="407" ht="13.5" customHeight="1">
      <c r="A407" s="182"/>
      <c r="B407" s="205"/>
      <c r="C407" s="205"/>
      <c r="D407" s="205"/>
      <c r="E407" s="205"/>
      <c r="F407" s="205"/>
    </row>
    <row r="408" ht="13.5" customHeight="1">
      <c r="A408" s="182"/>
      <c r="B408" s="205"/>
      <c r="C408" s="205"/>
      <c r="D408" s="205"/>
      <c r="E408" s="205"/>
      <c r="F408" s="205"/>
    </row>
    <row r="409" ht="13.5" customHeight="1">
      <c r="A409" s="182"/>
      <c r="B409" s="205"/>
      <c r="C409" s="205"/>
      <c r="D409" s="205"/>
      <c r="E409" s="205"/>
      <c r="F409" s="205"/>
    </row>
    <row r="410" ht="13.5" customHeight="1">
      <c r="A410" s="182"/>
      <c r="B410" s="205"/>
      <c r="C410" s="205"/>
      <c r="D410" s="205"/>
      <c r="E410" s="205"/>
      <c r="F410" s="205"/>
    </row>
    <row r="411" ht="13.5" customHeight="1">
      <c r="A411" s="182"/>
      <c r="B411" s="205"/>
      <c r="C411" s="205"/>
      <c r="D411" s="205"/>
      <c r="E411" s="205"/>
      <c r="F411" s="205"/>
    </row>
    <row r="412" ht="13.5" customHeight="1">
      <c r="A412" s="182"/>
      <c r="B412" s="205"/>
      <c r="C412" s="205"/>
      <c r="D412" s="205"/>
      <c r="E412" s="205"/>
      <c r="F412" s="205"/>
    </row>
    <row r="413" ht="13.5" customHeight="1">
      <c r="A413" s="182"/>
      <c r="B413" s="205"/>
      <c r="C413" s="205"/>
      <c r="D413" s="205"/>
      <c r="E413" s="205"/>
      <c r="F413" s="205"/>
    </row>
    <row r="414" ht="13.5" customHeight="1">
      <c r="A414" s="182"/>
      <c r="B414" s="205"/>
      <c r="C414" s="205"/>
      <c r="D414" s="205"/>
      <c r="E414" s="205"/>
      <c r="F414" s="205"/>
    </row>
    <row r="415" ht="13.5" customHeight="1">
      <c r="A415" s="182"/>
      <c r="B415" s="205"/>
      <c r="C415" s="205"/>
      <c r="D415" s="205"/>
      <c r="E415" s="205"/>
      <c r="F415" s="205"/>
    </row>
    <row r="416" ht="13.5" customHeight="1">
      <c r="A416" s="182"/>
      <c r="B416" s="205"/>
      <c r="C416" s="205"/>
      <c r="D416" s="205"/>
      <c r="E416" s="205"/>
      <c r="F416" s="205"/>
    </row>
    <row r="417" ht="13.5" customHeight="1">
      <c r="A417" s="182"/>
      <c r="B417" s="205"/>
      <c r="C417" s="205"/>
      <c r="D417" s="205"/>
      <c r="E417" s="205"/>
      <c r="F417" s="205"/>
    </row>
    <row r="418" ht="13.5" customHeight="1">
      <c r="A418" s="182"/>
      <c r="B418" s="205"/>
      <c r="C418" s="205"/>
      <c r="D418" s="205"/>
      <c r="E418" s="205"/>
      <c r="F418" s="205"/>
    </row>
    <row r="419" ht="13.5" customHeight="1">
      <c r="A419" s="182"/>
      <c r="B419" s="205"/>
      <c r="C419" s="205"/>
      <c r="D419" s="205"/>
      <c r="E419" s="205"/>
      <c r="F419" s="205"/>
    </row>
    <row r="420" ht="13.5" customHeight="1">
      <c r="A420" s="182"/>
      <c r="B420" s="205"/>
      <c r="C420" s="205"/>
      <c r="D420" s="205"/>
      <c r="E420" s="205"/>
      <c r="F420" s="205"/>
    </row>
    <row r="421" ht="13.5" customHeight="1">
      <c r="A421" s="182"/>
      <c r="B421" s="205"/>
      <c r="C421" s="205"/>
      <c r="D421" s="205"/>
      <c r="E421" s="205"/>
      <c r="F421" s="205"/>
    </row>
    <row r="422" ht="13.5" customHeight="1">
      <c r="A422" s="182"/>
      <c r="B422" s="205"/>
      <c r="C422" s="205"/>
      <c r="D422" s="205"/>
      <c r="E422" s="205"/>
      <c r="F422" s="205"/>
    </row>
    <row r="423" ht="13.5" customHeight="1">
      <c r="A423" s="182"/>
      <c r="B423" s="205"/>
      <c r="C423" s="205"/>
      <c r="D423" s="205"/>
      <c r="E423" s="205"/>
      <c r="F423" s="205"/>
    </row>
    <row r="424" ht="13.5" customHeight="1">
      <c r="A424" s="182"/>
      <c r="B424" s="205"/>
      <c r="C424" s="205"/>
      <c r="D424" s="205"/>
      <c r="E424" s="205"/>
      <c r="F424" s="205"/>
    </row>
    <row r="425" ht="13.5" customHeight="1">
      <c r="A425" s="182"/>
      <c r="B425" s="205"/>
      <c r="C425" s="205"/>
      <c r="D425" s="205"/>
      <c r="E425" s="205"/>
      <c r="F425" s="205"/>
    </row>
    <row r="426" ht="13.5" customHeight="1">
      <c r="A426" s="182"/>
      <c r="B426" s="205"/>
      <c r="C426" s="205"/>
      <c r="D426" s="205"/>
      <c r="E426" s="205"/>
      <c r="F426" s="205"/>
    </row>
    <row r="427" ht="13.5" customHeight="1">
      <c r="A427" s="182"/>
      <c r="B427" s="205"/>
      <c r="C427" s="205"/>
      <c r="D427" s="205"/>
      <c r="E427" s="205"/>
      <c r="F427" s="205"/>
    </row>
    <row r="428" ht="13.5" customHeight="1">
      <c r="A428" s="182"/>
      <c r="B428" s="205"/>
      <c r="C428" s="205"/>
      <c r="D428" s="205"/>
      <c r="E428" s="205"/>
      <c r="F428" s="205"/>
    </row>
    <row r="429" ht="13.5" customHeight="1">
      <c r="A429" s="182"/>
      <c r="B429" s="205"/>
      <c r="C429" s="205"/>
      <c r="D429" s="205"/>
      <c r="E429" s="205"/>
      <c r="F429" s="205"/>
    </row>
    <row r="430" ht="13.5" customHeight="1">
      <c r="A430" s="182"/>
      <c r="B430" s="205"/>
      <c r="C430" s="205"/>
      <c r="D430" s="205"/>
      <c r="E430" s="205"/>
      <c r="F430" s="205"/>
    </row>
    <row r="431" ht="13.5" customHeight="1">
      <c r="A431" s="182"/>
      <c r="B431" s="205"/>
      <c r="C431" s="205"/>
      <c r="D431" s="205"/>
      <c r="E431" s="205"/>
      <c r="F431" s="205"/>
    </row>
    <row r="432" ht="13.5" customHeight="1">
      <c r="A432" s="182"/>
      <c r="B432" s="205"/>
      <c r="C432" s="205"/>
      <c r="D432" s="205"/>
      <c r="E432" s="205"/>
      <c r="F432" s="205"/>
    </row>
    <row r="433" ht="13.5" customHeight="1">
      <c r="A433" s="182"/>
      <c r="B433" s="205"/>
      <c r="C433" s="205"/>
      <c r="D433" s="205"/>
      <c r="E433" s="205"/>
      <c r="F433" s="205"/>
    </row>
    <row r="434" ht="13.5" customHeight="1">
      <c r="A434" s="182"/>
      <c r="B434" s="205"/>
      <c r="C434" s="205"/>
      <c r="D434" s="205"/>
      <c r="E434" s="205"/>
      <c r="F434" s="205"/>
    </row>
    <row r="435" ht="13.5" customHeight="1">
      <c r="A435" s="182"/>
      <c r="B435" s="205"/>
      <c r="C435" s="205"/>
      <c r="D435" s="205"/>
      <c r="E435" s="205"/>
      <c r="F435" s="205"/>
    </row>
    <row r="436" ht="13.5" customHeight="1">
      <c r="A436" s="182"/>
      <c r="B436" s="205"/>
      <c r="C436" s="205"/>
      <c r="D436" s="205"/>
      <c r="E436" s="205"/>
      <c r="F436" s="205"/>
    </row>
    <row r="437" ht="13.5" customHeight="1">
      <c r="A437" s="182"/>
      <c r="B437" s="205"/>
      <c r="C437" s="205"/>
      <c r="D437" s="205"/>
      <c r="E437" s="205"/>
      <c r="F437" s="205"/>
    </row>
    <row r="438" ht="13.5" customHeight="1">
      <c r="A438" s="182"/>
      <c r="B438" s="205"/>
      <c r="C438" s="205"/>
      <c r="D438" s="205"/>
      <c r="E438" s="205"/>
      <c r="F438" s="205"/>
    </row>
    <row r="439" ht="13.5" customHeight="1">
      <c r="A439" s="182"/>
      <c r="B439" s="205"/>
      <c r="C439" s="205"/>
      <c r="D439" s="205"/>
      <c r="E439" s="205"/>
      <c r="F439" s="205"/>
    </row>
    <row r="440" ht="13.5" customHeight="1">
      <c r="A440" s="182"/>
      <c r="B440" s="205"/>
      <c r="C440" s="205"/>
      <c r="D440" s="205"/>
      <c r="E440" s="205"/>
      <c r="F440" s="205"/>
    </row>
    <row r="441" ht="13.5" customHeight="1">
      <c r="A441" s="182"/>
      <c r="B441" s="205"/>
      <c r="C441" s="205"/>
      <c r="D441" s="205"/>
      <c r="E441" s="205"/>
      <c r="F441" s="205"/>
    </row>
    <row r="442" ht="13.5" customHeight="1">
      <c r="A442" s="182"/>
      <c r="B442" s="205"/>
      <c r="C442" s="205"/>
      <c r="D442" s="205"/>
      <c r="E442" s="205"/>
      <c r="F442" s="205"/>
    </row>
    <row r="443" ht="13.5" customHeight="1">
      <c r="A443" s="182"/>
      <c r="B443" s="205"/>
      <c r="C443" s="205"/>
      <c r="D443" s="205"/>
      <c r="E443" s="205"/>
      <c r="F443" s="205"/>
    </row>
    <row r="444" ht="13.5" customHeight="1">
      <c r="A444" s="182"/>
      <c r="B444" s="205"/>
      <c r="C444" s="205"/>
      <c r="D444" s="205"/>
      <c r="E444" s="205"/>
      <c r="F444" s="205"/>
    </row>
    <row r="445" ht="13.5" customHeight="1">
      <c r="A445" s="182"/>
      <c r="B445" s="205"/>
      <c r="C445" s="205"/>
      <c r="D445" s="205"/>
      <c r="E445" s="205"/>
      <c r="F445" s="205"/>
    </row>
    <row r="446" ht="13.5" customHeight="1">
      <c r="A446" s="182"/>
      <c r="B446" s="205"/>
      <c r="C446" s="205"/>
      <c r="D446" s="205"/>
      <c r="E446" s="205"/>
      <c r="F446" s="205"/>
    </row>
    <row r="447" ht="13.5" customHeight="1">
      <c r="A447" s="182"/>
      <c r="B447" s="205"/>
      <c r="C447" s="205"/>
      <c r="D447" s="205"/>
      <c r="E447" s="205"/>
      <c r="F447" s="205"/>
    </row>
    <row r="448" ht="13.5" customHeight="1">
      <c r="A448" s="182"/>
      <c r="B448" s="205"/>
      <c r="C448" s="205"/>
      <c r="D448" s="205"/>
      <c r="E448" s="205"/>
      <c r="F448" s="205"/>
    </row>
    <row r="449" ht="13.5" customHeight="1">
      <c r="A449" s="182"/>
      <c r="B449" s="205"/>
      <c r="C449" s="205"/>
      <c r="D449" s="205"/>
      <c r="E449" s="205"/>
      <c r="F449" s="205"/>
    </row>
    <row r="450" ht="13.5" customHeight="1">
      <c r="A450" s="182"/>
      <c r="B450" s="205"/>
      <c r="C450" s="205"/>
      <c r="D450" s="205"/>
      <c r="E450" s="205"/>
      <c r="F450" s="205"/>
    </row>
    <row r="451" ht="13.5" customHeight="1">
      <c r="A451" s="182"/>
      <c r="B451" s="205"/>
      <c r="C451" s="205"/>
      <c r="D451" s="205"/>
      <c r="E451" s="205"/>
      <c r="F451" s="205"/>
    </row>
    <row r="452" ht="13.5" customHeight="1">
      <c r="A452" s="182"/>
      <c r="B452" s="205"/>
      <c r="C452" s="205"/>
      <c r="D452" s="205"/>
      <c r="E452" s="205"/>
      <c r="F452" s="205"/>
    </row>
    <row r="453" ht="13.5" customHeight="1">
      <c r="A453" s="182"/>
      <c r="B453" s="205"/>
      <c r="C453" s="205"/>
      <c r="D453" s="205"/>
      <c r="E453" s="205"/>
      <c r="F453" s="205"/>
    </row>
    <row r="454" ht="13.5" customHeight="1">
      <c r="A454" s="182"/>
      <c r="B454" s="205"/>
      <c r="C454" s="205"/>
      <c r="D454" s="205"/>
      <c r="E454" s="205"/>
      <c r="F454" s="205"/>
    </row>
    <row r="455" ht="13.5" customHeight="1">
      <c r="A455" s="182"/>
      <c r="B455" s="205"/>
      <c r="C455" s="205"/>
      <c r="D455" s="205"/>
      <c r="E455" s="205"/>
      <c r="F455" s="205"/>
    </row>
    <row r="456" ht="13.5" customHeight="1">
      <c r="A456" s="182"/>
      <c r="B456" s="205"/>
      <c r="C456" s="205"/>
      <c r="D456" s="205"/>
      <c r="E456" s="205"/>
      <c r="F456" s="205"/>
    </row>
    <row r="457" ht="13.5" customHeight="1">
      <c r="A457" s="182"/>
      <c r="B457" s="205"/>
      <c r="C457" s="205"/>
      <c r="D457" s="205"/>
      <c r="E457" s="205"/>
      <c r="F457" s="205"/>
    </row>
    <row r="458" ht="13.5" customHeight="1">
      <c r="A458" s="182"/>
      <c r="B458" s="205"/>
      <c r="C458" s="205"/>
      <c r="D458" s="205"/>
      <c r="E458" s="205"/>
      <c r="F458" s="205"/>
    </row>
    <row r="459" ht="13.5" customHeight="1">
      <c r="A459" s="182"/>
      <c r="B459" s="205"/>
      <c r="C459" s="205"/>
      <c r="D459" s="205"/>
      <c r="E459" s="205"/>
      <c r="F459" s="205"/>
    </row>
    <row r="460" ht="13.5" customHeight="1">
      <c r="A460" s="182"/>
      <c r="B460" s="205"/>
      <c r="C460" s="205"/>
      <c r="D460" s="205"/>
      <c r="E460" s="205"/>
      <c r="F460" s="205"/>
    </row>
    <row r="461" ht="13.5" customHeight="1">
      <c r="A461" s="182"/>
      <c r="B461" s="205"/>
      <c r="C461" s="205"/>
      <c r="D461" s="205"/>
      <c r="E461" s="205"/>
      <c r="F461" s="205"/>
    </row>
    <row r="462" ht="13.5" customHeight="1">
      <c r="A462" s="182"/>
      <c r="B462" s="205"/>
      <c r="C462" s="205"/>
      <c r="D462" s="205"/>
      <c r="E462" s="205"/>
      <c r="F462" s="205"/>
    </row>
    <row r="463" ht="13.5" customHeight="1">
      <c r="A463" s="182"/>
      <c r="B463" s="205"/>
      <c r="C463" s="205"/>
      <c r="D463" s="205"/>
      <c r="E463" s="205"/>
      <c r="F463" s="205"/>
    </row>
    <row r="464" ht="13.5" customHeight="1">
      <c r="A464" s="182"/>
      <c r="B464" s="205"/>
      <c r="C464" s="205"/>
      <c r="D464" s="205"/>
      <c r="E464" s="205"/>
      <c r="F464" s="205"/>
    </row>
    <row r="465" ht="13.5" customHeight="1">
      <c r="A465" s="182"/>
      <c r="B465" s="205"/>
      <c r="C465" s="205"/>
      <c r="D465" s="205"/>
      <c r="E465" s="205"/>
      <c r="F465" s="205"/>
    </row>
    <row r="466" ht="13.5" customHeight="1">
      <c r="A466" s="182"/>
      <c r="B466" s="205"/>
      <c r="C466" s="205"/>
      <c r="D466" s="205"/>
      <c r="E466" s="205"/>
      <c r="F466" s="205"/>
    </row>
    <row r="467" ht="13.5" customHeight="1">
      <c r="A467" s="182"/>
      <c r="B467" s="205"/>
      <c r="C467" s="205"/>
      <c r="D467" s="205"/>
      <c r="E467" s="205"/>
      <c r="F467" s="205"/>
    </row>
    <row r="468" ht="13.5" customHeight="1">
      <c r="A468" s="182"/>
      <c r="B468" s="205"/>
      <c r="C468" s="205"/>
      <c r="D468" s="205"/>
      <c r="E468" s="205"/>
      <c r="F468" s="205"/>
    </row>
    <row r="469" ht="13.5" customHeight="1">
      <c r="A469" s="182"/>
      <c r="B469" s="205"/>
      <c r="C469" s="205"/>
      <c r="D469" s="205"/>
      <c r="E469" s="205"/>
      <c r="F469" s="205"/>
    </row>
    <row r="470" ht="13.5" customHeight="1">
      <c r="A470" s="182"/>
      <c r="B470" s="205"/>
      <c r="C470" s="205"/>
      <c r="D470" s="205"/>
      <c r="E470" s="205"/>
      <c r="F470" s="205"/>
    </row>
    <row r="471" ht="13.5" customHeight="1">
      <c r="A471" s="182"/>
      <c r="B471" s="205"/>
      <c r="C471" s="205"/>
      <c r="D471" s="205"/>
      <c r="E471" s="205"/>
      <c r="F471" s="205"/>
    </row>
    <row r="472" ht="13.5" customHeight="1">
      <c r="A472" s="182"/>
      <c r="B472" s="205"/>
      <c r="C472" s="205"/>
      <c r="D472" s="205"/>
      <c r="E472" s="205"/>
      <c r="F472" s="205"/>
    </row>
    <row r="473" ht="13.5" customHeight="1">
      <c r="A473" s="182"/>
      <c r="B473" s="205"/>
      <c r="C473" s="205"/>
      <c r="D473" s="205"/>
      <c r="E473" s="205"/>
      <c r="F473" s="205"/>
    </row>
    <row r="474" ht="13.5" customHeight="1">
      <c r="A474" s="182"/>
      <c r="B474" s="205"/>
      <c r="C474" s="205"/>
      <c r="D474" s="205"/>
      <c r="E474" s="205"/>
      <c r="F474" s="205"/>
    </row>
    <row r="475" ht="13.5" customHeight="1">
      <c r="A475" s="182"/>
      <c r="B475" s="205"/>
      <c r="C475" s="205"/>
      <c r="D475" s="205"/>
      <c r="E475" s="205"/>
      <c r="F475" s="205"/>
    </row>
    <row r="476" ht="13.5" customHeight="1">
      <c r="A476" s="182"/>
      <c r="B476" s="205"/>
      <c r="C476" s="205"/>
      <c r="D476" s="205"/>
      <c r="E476" s="205"/>
      <c r="F476" s="205"/>
    </row>
    <row r="477" ht="13.5" customHeight="1">
      <c r="A477" s="182"/>
      <c r="B477" s="205"/>
      <c r="C477" s="205"/>
      <c r="D477" s="205"/>
      <c r="E477" s="205"/>
      <c r="F477" s="205"/>
    </row>
    <row r="478" ht="13.5" customHeight="1">
      <c r="A478" s="182"/>
      <c r="B478" s="205"/>
      <c r="C478" s="205"/>
      <c r="D478" s="205"/>
      <c r="E478" s="205"/>
      <c r="F478" s="205"/>
    </row>
    <row r="479" ht="13.5" customHeight="1">
      <c r="A479" s="182"/>
      <c r="B479" s="205"/>
      <c r="C479" s="205"/>
      <c r="D479" s="205"/>
      <c r="E479" s="205"/>
      <c r="F479" s="205"/>
    </row>
    <row r="480" ht="13.5" customHeight="1">
      <c r="A480" s="182"/>
      <c r="B480" s="205"/>
      <c r="C480" s="205"/>
      <c r="D480" s="205"/>
      <c r="E480" s="205"/>
      <c r="F480" s="205"/>
    </row>
    <row r="481" ht="13.5" customHeight="1">
      <c r="A481" s="182"/>
      <c r="B481" s="205"/>
      <c r="C481" s="205"/>
      <c r="D481" s="205"/>
      <c r="E481" s="205"/>
      <c r="F481" s="205"/>
    </row>
    <row r="482" ht="13.5" customHeight="1">
      <c r="A482" s="182"/>
      <c r="B482" s="205"/>
      <c r="C482" s="205"/>
      <c r="D482" s="205"/>
      <c r="E482" s="205"/>
      <c r="F482" s="205"/>
    </row>
    <row r="483" ht="13.5" customHeight="1">
      <c r="A483" s="182"/>
      <c r="B483" s="205"/>
      <c r="C483" s="205"/>
      <c r="D483" s="205"/>
      <c r="E483" s="205"/>
      <c r="F483" s="205"/>
    </row>
    <row r="484" ht="13.5" customHeight="1">
      <c r="A484" s="182"/>
      <c r="B484" s="205"/>
      <c r="C484" s="205"/>
      <c r="D484" s="205"/>
      <c r="E484" s="205"/>
      <c r="F484" s="205"/>
    </row>
    <row r="485" ht="13.5" customHeight="1">
      <c r="A485" s="182"/>
      <c r="B485" s="205"/>
      <c r="C485" s="205"/>
      <c r="D485" s="205"/>
      <c r="E485" s="205"/>
      <c r="F485" s="205"/>
    </row>
    <row r="486" ht="13.5" customHeight="1">
      <c r="A486" s="182"/>
      <c r="B486" s="205"/>
      <c r="C486" s="205"/>
      <c r="D486" s="205"/>
      <c r="E486" s="205"/>
      <c r="F486" s="205"/>
    </row>
    <row r="487" ht="13.5" customHeight="1">
      <c r="A487" s="182"/>
      <c r="B487" s="205"/>
      <c r="C487" s="205"/>
      <c r="D487" s="205"/>
      <c r="E487" s="205"/>
      <c r="F487" s="205"/>
    </row>
    <row r="488" ht="13.5" customHeight="1">
      <c r="A488" s="182"/>
      <c r="B488" s="205"/>
      <c r="C488" s="205"/>
      <c r="D488" s="205"/>
      <c r="E488" s="205"/>
      <c r="F488" s="205"/>
    </row>
    <row r="489" ht="13.5" customHeight="1">
      <c r="A489" s="182"/>
      <c r="B489" s="205"/>
      <c r="C489" s="205"/>
      <c r="D489" s="205"/>
      <c r="E489" s="205"/>
      <c r="F489" s="205"/>
    </row>
    <row r="490" ht="13.5" customHeight="1">
      <c r="A490" s="182"/>
      <c r="B490" s="205"/>
      <c r="C490" s="205"/>
      <c r="D490" s="205"/>
      <c r="E490" s="205"/>
      <c r="F490" s="205"/>
    </row>
    <row r="491" ht="13.5" customHeight="1">
      <c r="A491" s="182"/>
      <c r="B491" s="205"/>
      <c r="C491" s="205"/>
      <c r="D491" s="205"/>
      <c r="E491" s="205"/>
      <c r="F491" s="205"/>
    </row>
    <row r="492" ht="13.5" customHeight="1">
      <c r="A492" s="182"/>
      <c r="B492" s="205"/>
      <c r="C492" s="205"/>
      <c r="D492" s="205"/>
      <c r="E492" s="205"/>
      <c r="F492" s="205"/>
    </row>
    <row r="493" ht="13.5" customHeight="1">
      <c r="A493" s="182"/>
      <c r="B493" s="205"/>
      <c r="C493" s="205"/>
      <c r="D493" s="205"/>
      <c r="E493" s="205"/>
      <c r="F493" s="205"/>
    </row>
    <row r="494" ht="13.5" customHeight="1">
      <c r="A494" s="182"/>
      <c r="B494" s="205"/>
      <c r="C494" s="205"/>
      <c r="D494" s="205"/>
      <c r="E494" s="205"/>
      <c r="F494" s="205"/>
    </row>
    <row r="495" ht="13.5" customHeight="1">
      <c r="A495" s="182"/>
      <c r="B495" s="205"/>
      <c r="C495" s="205"/>
      <c r="D495" s="205"/>
      <c r="E495" s="205"/>
      <c r="F495" s="205"/>
    </row>
    <row r="496" ht="13.5" customHeight="1">
      <c r="A496" s="182"/>
      <c r="B496" s="205"/>
      <c r="C496" s="205"/>
      <c r="D496" s="205"/>
      <c r="E496" s="205"/>
      <c r="F496" s="205"/>
    </row>
    <row r="497" ht="13.5" customHeight="1">
      <c r="A497" s="182"/>
      <c r="B497" s="205"/>
      <c r="C497" s="205"/>
      <c r="D497" s="205"/>
      <c r="E497" s="205"/>
      <c r="F497" s="205"/>
    </row>
    <row r="498" ht="13.5" customHeight="1">
      <c r="A498" s="182"/>
      <c r="B498" s="205"/>
      <c r="C498" s="205"/>
      <c r="D498" s="205"/>
      <c r="E498" s="205"/>
      <c r="F498" s="205"/>
    </row>
    <row r="499" ht="13.5" customHeight="1">
      <c r="A499" s="182"/>
      <c r="B499" s="205"/>
      <c r="C499" s="205"/>
      <c r="D499" s="205"/>
      <c r="E499" s="205"/>
      <c r="F499" s="205"/>
    </row>
    <row r="500" ht="13.5" customHeight="1">
      <c r="A500" s="182"/>
      <c r="B500" s="205"/>
      <c r="C500" s="205"/>
      <c r="D500" s="205"/>
      <c r="E500" s="205"/>
      <c r="F500" s="205"/>
    </row>
    <row r="501" ht="13.5" customHeight="1">
      <c r="A501" s="182"/>
      <c r="B501" s="205"/>
      <c r="C501" s="205"/>
      <c r="D501" s="205"/>
      <c r="E501" s="205"/>
      <c r="F501" s="205"/>
    </row>
    <row r="502" ht="13.5" customHeight="1">
      <c r="A502" s="182"/>
      <c r="B502" s="205"/>
      <c r="C502" s="205"/>
      <c r="D502" s="205"/>
      <c r="E502" s="205"/>
      <c r="F502" s="205"/>
    </row>
    <row r="503" ht="13.5" customHeight="1">
      <c r="A503" s="182"/>
      <c r="B503" s="205"/>
      <c r="C503" s="205"/>
      <c r="D503" s="205"/>
      <c r="E503" s="205"/>
      <c r="F503" s="205"/>
    </row>
    <row r="504" ht="13.5" customHeight="1">
      <c r="A504" s="182"/>
      <c r="B504" s="205"/>
      <c r="C504" s="205"/>
      <c r="D504" s="205"/>
      <c r="E504" s="205"/>
      <c r="F504" s="205"/>
    </row>
    <row r="505" ht="13.5" customHeight="1">
      <c r="A505" s="182"/>
      <c r="B505" s="205"/>
      <c r="C505" s="205"/>
      <c r="D505" s="205"/>
      <c r="E505" s="205"/>
      <c r="F505" s="205"/>
    </row>
    <row r="506" ht="13.5" customHeight="1">
      <c r="A506" s="182"/>
      <c r="B506" s="205"/>
      <c r="C506" s="205"/>
      <c r="D506" s="205"/>
      <c r="E506" s="205"/>
      <c r="F506" s="205"/>
    </row>
    <row r="507" ht="13.5" customHeight="1">
      <c r="A507" s="182"/>
      <c r="B507" s="205"/>
      <c r="C507" s="205"/>
      <c r="D507" s="205"/>
      <c r="E507" s="205"/>
      <c r="F507" s="205"/>
    </row>
    <row r="508" ht="13.5" customHeight="1">
      <c r="A508" s="182"/>
      <c r="B508" s="205"/>
      <c r="C508" s="205"/>
      <c r="D508" s="205"/>
      <c r="E508" s="205"/>
      <c r="F508" s="205"/>
    </row>
    <row r="509" ht="13.5" customHeight="1">
      <c r="A509" s="182"/>
      <c r="B509" s="205"/>
      <c r="C509" s="205"/>
      <c r="D509" s="205"/>
      <c r="E509" s="205"/>
      <c r="F509" s="205"/>
    </row>
    <row r="510" ht="13.5" customHeight="1">
      <c r="A510" s="182"/>
      <c r="B510" s="205"/>
      <c r="C510" s="205"/>
      <c r="D510" s="205"/>
      <c r="E510" s="205"/>
      <c r="F510" s="205"/>
    </row>
    <row r="511" ht="13.5" customHeight="1">
      <c r="A511" s="182"/>
      <c r="B511" s="205"/>
      <c r="C511" s="205"/>
      <c r="D511" s="205"/>
      <c r="E511" s="205"/>
      <c r="F511" s="205"/>
    </row>
    <row r="512" ht="13.5" customHeight="1">
      <c r="A512" s="182"/>
      <c r="B512" s="205"/>
      <c r="C512" s="205"/>
      <c r="D512" s="205"/>
      <c r="E512" s="205"/>
      <c r="F512" s="205"/>
    </row>
    <row r="513" ht="13.5" customHeight="1">
      <c r="A513" s="182"/>
      <c r="B513" s="205"/>
      <c r="C513" s="205"/>
      <c r="D513" s="205"/>
      <c r="E513" s="205"/>
      <c r="F513" s="205"/>
    </row>
    <row r="514" ht="13.5" customHeight="1">
      <c r="A514" s="182"/>
      <c r="B514" s="205"/>
      <c r="C514" s="205"/>
      <c r="D514" s="205"/>
      <c r="E514" s="205"/>
      <c r="F514" s="205"/>
    </row>
    <row r="515" ht="13.5" customHeight="1">
      <c r="A515" s="182"/>
      <c r="B515" s="205"/>
      <c r="C515" s="205"/>
      <c r="D515" s="205"/>
      <c r="E515" s="205"/>
      <c r="F515" s="205"/>
    </row>
    <row r="516" ht="13.5" customHeight="1">
      <c r="A516" s="182"/>
      <c r="B516" s="205"/>
      <c r="C516" s="205"/>
      <c r="D516" s="205"/>
      <c r="E516" s="205"/>
      <c r="F516" s="205"/>
    </row>
    <row r="517" ht="13.5" customHeight="1">
      <c r="A517" s="182"/>
      <c r="B517" s="205"/>
      <c r="C517" s="205"/>
      <c r="D517" s="205"/>
      <c r="E517" s="205"/>
      <c r="F517" s="205"/>
    </row>
    <row r="518" ht="13.5" customHeight="1">
      <c r="A518" s="182"/>
      <c r="B518" s="205"/>
      <c r="C518" s="205"/>
      <c r="D518" s="205"/>
      <c r="E518" s="205"/>
      <c r="F518" s="205"/>
    </row>
    <row r="519" ht="13.5" customHeight="1">
      <c r="A519" s="182"/>
      <c r="B519" s="205"/>
      <c r="C519" s="205"/>
      <c r="D519" s="205"/>
      <c r="E519" s="205"/>
      <c r="F519" s="205"/>
    </row>
    <row r="520" ht="13.5" customHeight="1">
      <c r="A520" s="182"/>
      <c r="B520" s="205"/>
      <c r="C520" s="205"/>
      <c r="D520" s="205"/>
      <c r="E520" s="205"/>
      <c r="F520" s="205"/>
    </row>
    <row r="521" ht="13.5" customHeight="1">
      <c r="A521" s="182"/>
      <c r="B521" s="205"/>
      <c r="C521" s="205"/>
      <c r="D521" s="205"/>
      <c r="E521" s="205"/>
      <c r="F521" s="205"/>
    </row>
    <row r="522" ht="13.5" customHeight="1">
      <c r="A522" s="182"/>
      <c r="B522" s="205"/>
      <c r="C522" s="205"/>
      <c r="D522" s="205"/>
      <c r="E522" s="205"/>
      <c r="F522" s="205"/>
    </row>
    <row r="523" ht="13.5" customHeight="1">
      <c r="A523" s="182"/>
      <c r="B523" s="205"/>
      <c r="C523" s="205"/>
      <c r="D523" s="205"/>
      <c r="E523" s="205"/>
      <c r="F523" s="205"/>
    </row>
    <row r="524" ht="13.5" customHeight="1">
      <c r="A524" s="182"/>
      <c r="B524" s="205"/>
      <c r="C524" s="205"/>
      <c r="D524" s="205"/>
      <c r="E524" s="205"/>
      <c r="F524" s="205"/>
    </row>
    <row r="525" ht="13.5" customHeight="1">
      <c r="A525" s="182"/>
      <c r="B525" s="205"/>
      <c r="C525" s="205"/>
      <c r="D525" s="205"/>
      <c r="E525" s="205"/>
      <c r="F525" s="205"/>
    </row>
    <row r="526" ht="13.5" customHeight="1">
      <c r="A526" s="182"/>
      <c r="B526" s="205"/>
      <c r="C526" s="205"/>
      <c r="D526" s="205"/>
      <c r="E526" s="205"/>
      <c r="F526" s="205"/>
    </row>
    <row r="527" ht="13.5" customHeight="1">
      <c r="A527" s="182"/>
      <c r="B527" s="205"/>
      <c r="C527" s="205"/>
      <c r="D527" s="205"/>
      <c r="E527" s="205"/>
      <c r="F527" s="205"/>
    </row>
    <row r="528" ht="13.5" customHeight="1">
      <c r="A528" s="182"/>
      <c r="B528" s="205"/>
      <c r="C528" s="205"/>
      <c r="D528" s="205"/>
      <c r="E528" s="205"/>
      <c r="F528" s="205"/>
    </row>
    <row r="529" ht="13.5" customHeight="1">
      <c r="A529" s="182"/>
      <c r="B529" s="205"/>
      <c r="C529" s="205"/>
      <c r="D529" s="205"/>
      <c r="E529" s="205"/>
      <c r="F529" s="205"/>
    </row>
    <row r="530" ht="13.5" customHeight="1">
      <c r="A530" s="182"/>
      <c r="B530" s="205"/>
      <c r="C530" s="205"/>
      <c r="D530" s="205"/>
      <c r="E530" s="205"/>
      <c r="F530" s="205"/>
    </row>
    <row r="531" ht="13.5" customHeight="1">
      <c r="A531" s="182"/>
      <c r="B531" s="205"/>
      <c r="C531" s="205"/>
      <c r="D531" s="205"/>
      <c r="E531" s="205"/>
      <c r="F531" s="205"/>
    </row>
    <row r="532" ht="13.5" customHeight="1">
      <c r="A532" s="182"/>
      <c r="B532" s="205"/>
      <c r="C532" s="205"/>
      <c r="D532" s="205"/>
      <c r="E532" s="205"/>
      <c r="F532" s="205"/>
    </row>
    <row r="533" ht="13.5" customHeight="1">
      <c r="A533" s="182"/>
      <c r="B533" s="205"/>
      <c r="C533" s="205"/>
      <c r="D533" s="205"/>
      <c r="E533" s="205"/>
      <c r="F533" s="205"/>
    </row>
    <row r="534" ht="13.5" customHeight="1">
      <c r="A534" s="182"/>
      <c r="B534" s="205"/>
      <c r="C534" s="205"/>
      <c r="D534" s="205"/>
      <c r="E534" s="205"/>
      <c r="F534" s="205"/>
    </row>
    <row r="535" ht="13.5" customHeight="1">
      <c r="A535" s="182"/>
      <c r="B535" s="205"/>
      <c r="C535" s="205"/>
      <c r="D535" s="205"/>
      <c r="E535" s="205"/>
      <c r="F535" s="205"/>
    </row>
    <row r="536" ht="13.5" customHeight="1">
      <c r="A536" s="182"/>
      <c r="B536" s="205"/>
      <c r="C536" s="205"/>
      <c r="D536" s="205"/>
      <c r="E536" s="205"/>
      <c r="F536" s="205"/>
    </row>
    <row r="537" ht="13.5" customHeight="1">
      <c r="A537" s="182"/>
      <c r="B537" s="205"/>
      <c r="C537" s="205"/>
      <c r="D537" s="205"/>
      <c r="E537" s="205"/>
      <c r="F537" s="205"/>
    </row>
    <row r="538" ht="13.5" customHeight="1">
      <c r="A538" s="182"/>
      <c r="B538" s="205"/>
      <c r="C538" s="205"/>
      <c r="D538" s="205"/>
      <c r="E538" s="205"/>
      <c r="F538" s="205"/>
    </row>
    <row r="539" ht="13.5" customHeight="1">
      <c r="A539" s="182"/>
      <c r="B539" s="205"/>
      <c r="C539" s="205"/>
      <c r="D539" s="205"/>
      <c r="E539" s="205"/>
      <c r="F539" s="205"/>
    </row>
    <row r="540" ht="13.5" customHeight="1">
      <c r="A540" s="182"/>
      <c r="B540" s="205"/>
      <c r="C540" s="205"/>
      <c r="D540" s="205"/>
      <c r="E540" s="205"/>
      <c r="F540" s="205"/>
    </row>
    <row r="541" ht="13.5" customHeight="1">
      <c r="A541" s="182"/>
      <c r="B541" s="205"/>
      <c r="C541" s="205"/>
      <c r="D541" s="205"/>
      <c r="E541" s="205"/>
      <c r="F541" s="205"/>
    </row>
    <row r="542" ht="13.5" customHeight="1">
      <c r="A542" s="182"/>
      <c r="B542" s="205"/>
      <c r="C542" s="205"/>
      <c r="D542" s="205"/>
      <c r="E542" s="205"/>
      <c r="F542" s="205"/>
    </row>
    <row r="543" ht="13.5" customHeight="1">
      <c r="A543" s="182"/>
      <c r="B543" s="205"/>
      <c r="C543" s="205"/>
      <c r="D543" s="205"/>
      <c r="E543" s="205"/>
      <c r="F543" s="205"/>
    </row>
    <row r="544" ht="13.5" customHeight="1">
      <c r="A544" s="182"/>
      <c r="B544" s="205"/>
      <c r="C544" s="205"/>
      <c r="D544" s="205"/>
      <c r="E544" s="205"/>
      <c r="F544" s="205"/>
    </row>
    <row r="545" ht="13.5" customHeight="1">
      <c r="A545" s="182"/>
      <c r="B545" s="205"/>
      <c r="C545" s="205"/>
      <c r="D545" s="205"/>
      <c r="E545" s="205"/>
      <c r="F545" s="205"/>
    </row>
    <row r="546" ht="13.5" customHeight="1">
      <c r="A546" s="182"/>
      <c r="B546" s="205"/>
      <c r="C546" s="205"/>
      <c r="D546" s="205"/>
      <c r="E546" s="205"/>
      <c r="F546" s="205"/>
    </row>
    <row r="547" ht="13.5" customHeight="1">
      <c r="A547" s="182"/>
      <c r="B547" s="205"/>
      <c r="C547" s="205"/>
      <c r="D547" s="205"/>
      <c r="E547" s="205"/>
      <c r="F547" s="205"/>
    </row>
    <row r="548" ht="13.5" customHeight="1">
      <c r="A548" s="182"/>
      <c r="B548" s="205"/>
      <c r="C548" s="205"/>
      <c r="D548" s="205"/>
      <c r="E548" s="205"/>
      <c r="F548" s="205"/>
    </row>
    <row r="549" ht="13.5" customHeight="1">
      <c r="A549" s="182"/>
      <c r="B549" s="205"/>
      <c r="C549" s="205"/>
      <c r="D549" s="205"/>
      <c r="E549" s="205"/>
      <c r="F549" s="205"/>
    </row>
    <row r="550" ht="13.5" customHeight="1">
      <c r="A550" s="182"/>
      <c r="B550" s="205"/>
      <c r="C550" s="205"/>
      <c r="D550" s="205"/>
      <c r="E550" s="205"/>
      <c r="F550" s="205"/>
    </row>
    <row r="551" ht="13.5" customHeight="1">
      <c r="A551" s="182"/>
      <c r="B551" s="205"/>
      <c r="C551" s="205"/>
      <c r="D551" s="205"/>
      <c r="E551" s="205"/>
      <c r="F551" s="205"/>
    </row>
    <row r="552" ht="13.5" customHeight="1">
      <c r="A552" s="182"/>
      <c r="B552" s="205"/>
      <c r="C552" s="205"/>
      <c r="D552" s="205"/>
      <c r="E552" s="205"/>
      <c r="F552" s="205"/>
    </row>
    <row r="553" ht="13.5" customHeight="1">
      <c r="A553" s="182"/>
      <c r="B553" s="205"/>
      <c r="C553" s="205"/>
      <c r="D553" s="205"/>
      <c r="E553" s="205"/>
      <c r="F553" s="205"/>
    </row>
    <row r="554" ht="13.5" customHeight="1">
      <c r="A554" s="182"/>
      <c r="B554" s="205"/>
      <c r="C554" s="205"/>
      <c r="D554" s="205"/>
      <c r="E554" s="205"/>
      <c r="F554" s="205"/>
    </row>
    <row r="555" ht="13.5" customHeight="1">
      <c r="A555" s="182"/>
      <c r="B555" s="205"/>
      <c r="C555" s="205"/>
      <c r="D555" s="205"/>
      <c r="E555" s="205"/>
      <c r="F555" s="205"/>
    </row>
    <row r="556" ht="13.5" customHeight="1">
      <c r="A556" s="182"/>
      <c r="B556" s="205"/>
      <c r="C556" s="205"/>
      <c r="D556" s="205"/>
      <c r="E556" s="205"/>
      <c r="F556" s="205"/>
    </row>
    <row r="557" ht="13.5" customHeight="1">
      <c r="A557" s="182"/>
      <c r="B557" s="205"/>
      <c r="C557" s="205"/>
      <c r="D557" s="205"/>
      <c r="E557" s="205"/>
      <c r="F557" s="205"/>
    </row>
    <row r="558" ht="13.5" customHeight="1">
      <c r="A558" s="182"/>
      <c r="B558" s="205"/>
      <c r="C558" s="205"/>
      <c r="D558" s="205"/>
      <c r="E558" s="205"/>
      <c r="F558" s="205"/>
    </row>
    <row r="559" ht="13.5" customHeight="1">
      <c r="A559" s="182"/>
      <c r="B559" s="205"/>
      <c r="C559" s="205"/>
      <c r="D559" s="205"/>
      <c r="E559" s="205"/>
      <c r="F559" s="205"/>
    </row>
    <row r="560" ht="13.5" customHeight="1">
      <c r="A560" s="182"/>
      <c r="B560" s="205"/>
      <c r="C560" s="205"/>
      <c r="D560" s="205"/>
      <c r="E560" s="205"/>
      <c r="F560" s="205"/>
    </row>
    <row r="561" ht="13.5" customHeight="1">
      <c r="A561" s="182"/>
      <c r="B561" s="205"/>
      <c r="C561" s="205"/>
      <c r="D561" s="205"/>
      <c r="E561" s="205"/>
      <c r="F561" s="205"/>
    </row>
    <row r="562" ht="13.5" customHeight="1">
      <c r="A562" s="182"/>
      <c r="B562" s="205"/>
      <c r="C562" s="205"/>
      <c r="D562" s="205"/>
      <c r="E562" s="205"/>
      <c r="F562" s="205"/>
    </row>
    <row r="563" ht="13.5" customHeight="1">
      <c r="A563" s="182"/>
      <c r="B563" s="205"/>
      <c r="C563" s="205"/>
      <c r="D563" s="205"/>
      <c r="E563" s="205"/>
      <c r="F563" s="205"/>
    </row>
    <row r="564" ht="13.5" customHeight="1">
      <c r="A564" s="182"/>
      <c r="B564" s="205"/>
      <c r="C564" s="205"/>
      <c r="D564" s="205"/>
      <c r="E564" s="205"/>
      <c r="F564" s="205"/>
    </row>
    <row r="565" ht="13.5" customHeight="1">
      <c r="A565" s="182"/>
      <c r="B565" s="205"/>
      <c r="C565" s="205"/>
      <c r="D565" s="205"/>
      <c r="E565" s="205"/>
      <c r="F565" s="205"/>
    </row>
    <row r="566" ht="13.5" customHeight="1">
      <c r="A566" s="182"/>
      <c r="B566" s="205"/>
      <c r="C566" s="205"/>
      <c r="D566" s="205"/>
      <c r="E566" s="205"/>
      <c r="F566" s="205"/>
    </row>
    <row r="567" ht="13.5" customHeight="1">
      <c r="A567" s="182"/>
      <c r="B567" s="205"/>
      <c r="C567" s="205"/>
      <c r="D567" s="205"/>
      <c r="E567" s="205"/>
      <c r="F567" s="205"/>
    </row>
    <row r="568" ht="13.5" customHeight="1">
      <c r="A568" s="182"/>
      <c r="B568" s="205"/>
      <c r="C568" s="205"/>
      <c r="D568" s="205"/>
      <c r="E568" s="205"/>
      <c r="F568" s="205"/>
    </row>
    <row r="569" ht="13.5" customHeight="1">
      <c r="A569" s="182"/>
      <c r="B569" s="205"/>
      <c r="C569" s="205"/>
      <c r="D569" s="205"/>
      <c r="E569" s="205"/>
      <c r="F569" s="205"/>
    </row>
    <row r="570" ht="13.5" customHeight="1">
      <c r="A570" s="182"/>
      <c r="B570" s="205"/>
      <c r="C570" s="205"/>
      <c r="D570" s="205"/>
      <c r="E570" s="205"/>
      <c r="F570" s="205"/>
    </row>
    <row r="571" ht="13.5" customHeight="1">
      <c r="A571" s="182"/>
      <c r="B571" s="205"/>
      <c r="C571" s="205"/>
      <c r="D571" s="205"/>
      <c r="E571" s="205"/>
      <c r="F571" s="205"/>
    </row>
    <row r="572" ht="13.5" customHeight="1">
      <c r="A572" s="182"/>
      <c r="B572" s="205"/>
      <c r="C572" s="205"/>
      <c r="D572" s="205"/>
      <c r="E572" s="205"/>
      <c r="F572" s="205"/>
    </row>
    <row r="573" ht="13.5" customHeight="1">
      <c r="A573" s="182"/>
      <c r="B573" s="205"/>
      <c r="C573" s="205"/>
      <c r="D573" s="205"/>
      <c r="E573" s="205"/>
      <c r="F573" s="205"/>
    </row>
    <row r="574" ht="13.5" customHeight="1">
      <c r="A574" s="182"/>
      <c r="B574" s="205"/>
      <c r="C574" s="205"/>
      <c r="D574" s="205"/>
      <c r="E574" s="205"/>
      <c r="F574" s="205"/>
    </row>
    <row r="575" ht="13.5" customHeight="1">
      <c r="A575" s="182"/>
      <c r="B575" s="205"/>
      <c r="C575" s="205"/>
      <c r="D575" s="205"/>
      <c r="E575" s="205"/>
      <c r="F575" s="205"/>
    </row>
    <row r="576" ht="13.5" customHeight="1">
      <c r="A576" s="182"/>
      <c r="B576" s="205"/>
      <c r="C576" s="205"/>
      <c r="D576" s="205"/>
      <c r="E576" s="205"/>
      <c r="F576" s="205"/>
    </row>
    <row r="577" ht="13.5" customHeight="1">
      <c r="A577" s="182"/>
      <c r="B577" s="205"/>
      <c r="C577" s="205"/>
      <c r="D577" s="205"/>
      <c r="E577" s="205"/>
      <c r="F577" s="205"/>
    </row>
    <row r="578" ht="13.5" customHeight="1">
      <c r="A578" s="182"/>
      <c r="B578" s="205"/>
      <c r="C578" s="205"/>
      <c r="D578" s="205"/>
      <c r="E578" s="205"/>
      <c r="F578" s="205"/>
    </row>
    <row r="579" ht="13.5" customHeight="1">
      <c r="A579" s="182"/>
      <c r="B579" s="205"/>
      <c r="C579" s="205"/>
      <c r="D579" s="205"/>
      <c r="E579" s="205"/>
      <c r="F579" s="205"/>
    </row>
    <row r="580" ht="13.5" customHeight="1">
      <c r="A580" s="182"/>
      <c r="B580" s="205"/>
      <c r="C580" s="205"/>
      <c r="D580" s="205"/>
      <c r="E580" s="205"/>
      <c r="F580" s="205"/>
    </row>
    <row r="581" ht="13.5" customHeight="1">
      <c r="A581" s="182"/>
      <c r="B581" s="205"/>
      <c r="C581" s="205"/>
      <c r="D581" s="205"/>
      <c r="E581" s="205"/>
      <c r="F581" s="205"/>
    </row>
    <row r="582" ht="13.5" customHeight="1">
      <c r="A582" s="182"/>
      <c r="B582" s="205"/>
      <c r="C582" s="205"/>
      <c r="D582" s="205"/>
      <c r="E582" s="205"/>
      <c r="F582" s="205"/>
    </row>
    <row r="583" ht="13.5" customHeight="1">
      <c r="A583" s="182"/>
      <c r="B583" s="205"/>
      <c r="C583" s="205"/>
      <c r="D583" s="205"/>
      <c r="E583" s="205"/>
      <c r="F583" s="205"/>
    </row>
    <row r="584" ht="13.5" customHeight="1">
      <c r="A584" s="182"/>
      <c r="B584" s="205"/>
      <c r="C584" s="205"/>
      <c r="D584" s="205"/>
      <c r="E584" s="205"/>
      <c r="F584" s="205"/>
    </row>
    <row r="585" ht="13.5" customHeight="1">
      <c r="A585" s="182"/>
      <c r="B585" s="205"/>
      <c r="C585" s="205"/>
      <c r="D585" s="205"/>
      <c r="E585" s="205"/>
      <c r="F585" s="205"/>
    </row>
    <row r="586" ht="13.5" customHeight="1">
      <c r="A586" s="182"/>
      <c r="B586" s="205"/>
      <c r="C586" s="205"/>
      <c r="D586" s="205"/>
      <c r="E586" s="205"/>
      <c r="F586" s="205"/>
    </row>
    <row r="587" ht="13.5" customHeight="1">
      <c r="A587" s="182"/>
      <c r="B587" s="205"/>
      <c r="C587" s="205"/>
      <c r="D587" s="205"/>
      <c r="E587" s="205"/>
      <c r="F587" s="205"/>
    </row>
    <row r="588" ht="13.5" customHeight="1">
      <c r="A588" s="182"/>
      <c r="B588" s="205"/>
      <c r="C588" s="205"/>
      <c r="D588" s="205"/>
      <c r="E588" s="205"/>
      <c r="F588" s="205"/>
    </row>
    <row r="589" ht="13.5" customHeight="1">
      <c r="A589" s="182"/>
      <c r="B589" s="205"/>
      <c r="C589" s="205"/>
      <c r="D589" s="205"/>
      <c r="E589" s="205"/>
      <c r="F589" s="205"/>
    </row>
    <row r="590" ht="13.5" customHeight="1">
      <c r="A590" s="182"/>
      <c r="B590" s="205"/>
      <c r="C590" s="205"/>
      <c r="D590" s="205"/>
      <c r="E590" s="205"/>
      <c r="F590" s="205"/>
    </row>
    <row r="591" ht="13.5" customHeight="1">
      <c r="A591" s="182"/>
      <c r="B591" s="205"/>
      <c r="C591" s="205"/>
      <c r="D591" s="205"/>
      <c r="E591" s="205"/>
      <c r="F591" s="205"/>
    </row>
    <row r="592" ht="13.5" customHeight="1">
      <c r="A592" s="182"/>
      <c r="B592" s="205"/>
      <c r="C592" s="205"/>
      <c r="D592" s="205"/>
      <c r="E592" s="205"/>
      <c r="F592" s="205"/>
    </row>
    <row r="593" ht="13.5" customHeight="1">
      <c r="A593" s="182"/>
      <c r="B593" s="205"/>
      <c r="C593" s="205"/>
      <c r="D593" s="205"/>
      <c r="E593" s="205"/>
      <c r="F593" s="205"/>
    </row>
    <row r="594" ht="13.5" customHeight="1">
      <c r="A594" s="182"/>
      <c r="B594" s="205"/>
      <c r="C594" s="205"/>
      <c r="D594" s="205"/>
      <c r="E594" s="205"/>
      <c r="F594" s="205"/>
    </row>
    <row r="595" ht="13.5" customHeight="1">
      <c r="A595" s="182"/>
      <c r="B595" s="205"/>
      <c r="C595" s="205"/>
      <c r="D595" s="205"/>
      <c r="E595" s="205"/>
      <c r="F595" s="205"/>
    </row>
    <row r="596" ht="13.5" customHeight="1">
      <c r="A596" s="182"/>
      <c r="B596" s="205"/>
      <c r="C596" s="205"/>
      <c r="D596" s="205"/>
      <c r="E596" s="205"/>
      <c r="F596" s="205"/>
    </row>
    <row r="597" ht="13.5" customHeight="1">
      <c r="A597" s="182"/>
      <c r="B597" s="205"/>
      <c r="C597" s="205"/>
      <c r="D597" s="205"/>
      <c r="E597" s="205"/>
      <c r="F597" s="205"/>
    </row>
    <row r="598" ht="13.5" customHeight="1">
      <c r="A598" s="182"/>
      <c r="B598" s="205"/>
      <c r="C598" s="205"/>
      <c r="D598" s="205"/>
      <c r="E598" s="205"/>
      <c r="F598" s="205"/>
    </row>
    <row r="599" ht="13.5" customHeight="1">
      <c r="A599" s="182"/>
      <c r="B599" s="205"/>
      <c r="C599" s="205"/>
      <c r="D599" s="205"/>
      <c r="E599" s="205"/>
      <c r="F599" s="205"/>
    </row>
    <row r="600" ht="13.5" customHeight="1">
      <c r="A600" s="182"/>
      <c r="B600" s="205"/>
      <c r="C600" s="205"/>
      <c r="D600" s="205"/>
      <c r="E600" s="205"/>
      <c r="F600" s="205"/>
    </row>
    <row r="601" ht="13.5" customHeight="1">
      <c r="A601" s="182"/>
      <c r="B601" s="205"/>
      <c r="C601" s="205"/>
      <c r="D601" s="205"/>
      <c r="E601" s="205"/>
      <c r="F601" s="205"/>
    </row>
    <row r="602" ht="13.5" customHeight="1">
      <c r="A602" s="182"/>
      <c r="B602" s="205"/>
      <c r="C602" s="205"/>
      <c r="D602" s="205"/>
      <c r="E602" s="205"/>
      <c r="F602" s="205"/>
    </row>
    <row r="603" ht="13.5" customHeight="1">
      <c r="A603" s="182"/>
      <c r="B603" s="205"/>
      <c r="C603" s="205"/>
      <c r="D603" s="205"/>
      <c r="E603" s="205"/>
      <c r="F603" s="205"/>
    </row>
    <row r="604" ht="13.5" customHeight="1">
      <c r="A604" s="182"/>
      <c r="B604" s="205"/>
      <c r="C604" s="205"/>
      <c r="D604" s="205"/>
      <c r="E604" s="205"/>
      <c r="F604" s="205"/>
    </row>
    <row r="605" ht="13.5" customHeight="1">
      <c r="A605" s="182"/>
      <c r="B605" s="205"/>
      <c r="C605" s="205"/>
      <c r="D605" s="205"/>
      <c r="E605" s="205"/>
      <c r="F605" s="205"/>
    </row>
    <row r="606" ht="13.5" customHeight="1">
      <c r="A606" s="182"/>
      <c r="B606" s="205"/>
      <c r="C606" s="205"/>
      <c r="D606" s="205"/>
      <c r="E606" s="205"/>
      <c r="F606" s="205"/>
    </row>
    <row r="607" ht="13.5" customHeight="1">
      <c r="A607" s="182"/>
      <c r="B607" s="205"/>
      <c r="C607" s="205"/>
      <c r="D607" s="205"/>
      <c r="E607" s="205"/>
      <c r="F607" s="205"/>
    </row>
    <row r="608" ht="13.5" customHeight="1">
      <c r="A608" s="182"/>
      <c r="B608" s="205"/>
      <c r="C608" s="205"/>
      <c r="D608" s="205"/>
      <c r="E608" s="205"/>
      <c r="F608" s="205"/>
    </row>
    <row r="609" ht="13.5" customHeight="1">
      <c r="A609" s="182"/>
      <c r="B609" s="205"/>
      <c r="C609" s="205"/>
      <c r="D609" s="205"/>
      <c r="E609" s="205"/>
      <c r="F609" s="205"/>
    </row>
    <row r="610" ht="13.5" customHeight="1">
      <c r="A610" s="182"/>
      <c r="B610" s="205"/>
      <c r="C610" s="205"/>
      <c r="D610" s="205"/>
      <c r="E610" s="205"/>
      <c r="F610" s="205"/>
    </row>
    <row r="611" ht="13.5" customHeight="1">
      <c r="A611" s="182"/>
      <c r="B611" s="205"/>
      <c r="C611" s="205"/>
      <c r="D611" s="205"/>
      <c r="E611" s="205"/>
      <c r="F611" s="205"/>
    </row>
    <row r="612" ht="13.5" customHeight="1">
      <c r="A612" s="182"/>
      <c r="B612" s="205"/>
      <c r="C612" s="205"/>
      <c r="D612" s="205"/>
      <c r="E612" s="205"/>
      <c r="F612" s="205"/>
    </row>
    <row r="613" ht="13.5" customHeight="1">
      <c r="A613" s="182"/>
      <c r="B613" s="205"/>
      <c r="C613" s="205"/>
      <c r="D613" s="205"/>
      <c r="E613" s="205"/>
      <c r="F613" s="205"/>
    </row>
    <row r="614" ht="13.5" customHeight="1">
      <c r="A614" s="182"/>
      <c r="B614" s="205"/>
      <c r="C614" s="205"/>
      <c r="D614" s="205"/>
      <c r="E614" s="205"/>
      <c r="F614" s="205"/>
    </row>
    <row r="615" ht="13.5" customHeight="1">
      <c r="A615" s="182"/>
      <c r="B615" s="205"/>
      <c r="C615" s="205"/>
      <c r="D615" s="205"/>
      <c r="E615" s="205"/>
      <c r="F615" s="205"/>
    </row>
    <row r="616" ht="13.5" customHeight="1">
      <c r="A616" s="182"/>
      <c r="B616" s="205"/>
      <c r="C616" s="205"/>
      <c r="D616" s="205"/>
      <c r="E616" s="205"/>
      <c r="F616" s="205"/>
    </row>
    <row r="617" ht="13.5" customHeight="1">
      <c r="A617" s="182"/>
      <c r="B617" s="205"/>
      <c r="C617" s="205"/>
      <c r="D617" s="205"/>
      <c r="E617" s="205"/>
      <c r="F617" s="205"/>
    </row>
    <row r="618" ht="13.5" customHeight="1">
      <c r="A618" s="182"/>
      <c r="B618" s="205"/>
      <c r="C618" s="205"/>
      <c r="D618" s="205"/>
      <c r="E618" s="205"/>
      <c r="F618" s="205"/>
    </row>
    <row r="619" ht="13.5" customHeight="1">
      <c r="A619" s="182"/>
      <c r="B619" s="205"/>
      <c r="C619" s="205"/>
      <c r="D619" s="205"/>
      <c r="E619" s="205"/>
      <c r="F619" s="205"/>
    </row>
    <row r="620" ht="13.5" customHeight="1">
      <c r="A620" s="182"/>
      <c r="B620" s="205"/>
      <c r="C620" s="205"/>
      <c r="D620" s="205"/>
      <c r="E620" s="205"/>
      <c r="F620" s="205"/>
    </row>
    <row r="621" ht="13.5" customHeight="1">
      <c r="A621" s="182"/>
      <c r="B621" s="205"/>
      <c r="C621" s="205"/>
      <c r="D621" s="205"/>
      <c r="E621" s="205"/>
      <c r="F621" s="205"/>
    </row>
    <row r="622" ht="13.5" customHeight="1">
      <c r="A622" s="182"/>
      <c r="B622" s="205"/>
      <c r="C622" s="205"/>
      <c r="D622" s="205"/>
      <c r="E622" s="205"/>
      <c r="F622" s="205"/>
    </row>
    <row r="623" ht="13.5" customHeight="1">
      <c r="A623" s="182"/>
      <c r="B623" s="205"/>
      <c r="C623" s="205"/>
      <c r="D623" s="205"/>
      <c r="E623" s="205"/>
      <c r="F623" s="205"/>
    </row>
    <row r="624" ht="13.5" customHeight="1">
      <c r="A624" s="182"/>
      <c r="B624" s="205"/>
      <c r="C624" s="205"/>
      <c r="D624" s="205"/>
      <c r="E624" s="205"/>
      <c r="F624" s="205"/>
    </row>
    <row r="625" ht="13.5" customHeight="1">
      <c r="A625" s="182"/>
      <c r="B625" s="205"/>
      <c r="C625" s="205"/>
      <c r="D625" s="205"/>
      <c r="E625" s="205"/>
      <c r="F625" s="205"/>
    </row>
    <row r="626" ht="13.5" customHeight="1">
      <c r="A626" s="182"/>
      <c r="B626" s="205"/>
      <c r="C626" s="205"/>
      <c r="D626" s="205"/>
      <c r="E626" s="205"/>
      <c r="F626" s="205"/>
    </row>
    <row r="627" ht="13.5" customHeight="1">
      <c r="A627" s="182"/>
      <c r="B627" s="205"/>
      <c r="C627" s="205"/>
      <c r="D627" s="205"/>
      <c r="E627" s="205"/>
      <c r="F627" s="205"/>
    </row>
    <row r="628" ht="13.5" customHeight="1">
      <c r="A628" s="182"/>
      <c r="B628" s="205"/>
      <c r="C628" s="205"/>
      <c r="D628" s="205"/>
      <c r="E628" s="205"/>
      <c r="F628" s="205"/>
    </row>
    <row r="629" ht="13.5" customHeight="1">
      <c r="A629" s="182"/>
      <c r="B629" s="205"/>
      <c r="C629" s="205"/>
      <c r="D629" s="205"/>
      <c r="E629" s="205"/>
      <c r="F629" s="205"/>
    </row>
    <row r="630" ht="13.5" customHeight="1">
      <c r="A630" s="182"/>
      <c r="B630" s="205"/>
      <c r="C630" s="205"/>
      <c r="D630" s="205"/>
      <c r="E630" s="205"/>
      <c r="F630" s="205"/>
    </row>
    <row r="631" ht="13.5" customHeight="1">
      <c r="A631" s="182"/>
      <c r="B631" s="205"/>
      <c r="C631" s="205"/>
      <c r="D631" s="205"/>
      <c r="E631" s="205"/>
      <c r="F631" s="205"/>
    </row>
    <row r="632" ht="13.5" customHeight="1">
      <c r="A632" s="182"/>
      <c r="B632" s="205"/>
      <c r="C632" s="205"/>
      <c r="D632" s="205"/>
      <c r="E632" s="205"/>
      <c r="F632" s="205"/>
    </row>
    <row r="633" ht="13.5" customHeight="1">
      <c r="A633" s="182"/>
      <c r="B633" s="205"/>
      <c r="C633" s="205"/>
      <c r="D633" s="205"/>
      <c r="E633" s="205"/>
      <c r="F633" s="205"/>
    </row>
    <row r="634" ht="13.5" customHeight="1">
      <c r="A634" s="182"/>
      <c r="B634" s="205"/>
      <c r="C634" s="205"/>
      <c r="D634" s="205"/>
      <c r="E634" s="205"/>
      <c r="F634" s="205"/>
    </row>
    <row r="635" ht="13.5" customHeight="1">
      <c r="A635" s="182"/>
      <c r="B635" s="205"/>
      <c r="C635" s="205"/>
      <c r="D635" s="205"/>
      <c r="E635" s="205"/>
      <c r="F635" s="205"/>
    </row>
    <row r="636" ht="13.5" customHeight="1">
      <c r="A636" s="182"/>
      <c r="B636" s="205"/>
      <c r="C636" s="205"/>
      <c r="D636" s="205"/>
      <c r="E636" s="205"/>
      <c r="F636" s="205"/>
    </row>
    <row r="637" ht="13.5" customHeight="1">
      <c r="A637" s="182"/>
      <c r="B637" s="205"/>
      <c r="C637" s="205"/>
      <c r="D637" s="205"/>
      <c r="E637" s="205"/>
      <c r="F637" s="205"/>
    </row>
    <row r="638" ht="13.5" customHeight="1">
      <c r="A638" s="182"/>
      <c r="B638" s="205"/>
      <c r="C638" s="205"/>
      <c r="D638" s="205"/>
      <c r="E638" s="205"/>
      <c r="F638" s="205"/>
    </row>
    <row r="639" ht="13.5" customHeight="1">
      <c r="A639" s="182"/>
      <c r="B639" s="205"/>
      <c r="C639" s="205"/>
      <c r="D639" s="205"/>
      <c r="E639" s="205"/>
      <c r="F639" s="205"/>
    </row>
    <row r="640" ht="13.5" customHeight="1">
      <c r="A640" s="182"/>
      <c r="B640" s="205"/>
      <c r="C640" s="205"/>
      <c r="D640" s="205"/>
      <c r="E640" s="205"/>
      <c r="F640" s="205"/>
    </row>
    <row r="641" ht="13.5" customHeight="1">
      <c r="A641" s="182"/>
      <c r="B641" s="205"/>
      <c r="C641" s="205"/>
      <c r="D641" s="205"/>
      <c r="E641" s="205"/>
      <c r="F641" s="205"/>
    </row>
    <row r="642" ht="13.5" customHeight="1">
      <c r="A642" s="182"/>
      <c r="B642" s="205"/>
      <c r="C642" s="205"/>
      <c r="D642" s="205"/>
      <c r="E642" s="205"/>
      <c r="F642" s="205"/>
    </row>
    <row r="643" ht="13.5" customHeight="1">
      <c r="A643" s="182"/>
      <c r="B643" s="205"/>
      <c r="C643" s="205"/>
      <c r="D643" s="205"/>
      <c r="E643" s="205"/>
      <c r="F643" s="205"/>
    </row>
    <row r="644" ht="13.5" customHeight="1">
      <c r="A644" s="182"/>
      <c r="B644" s="205"/>
      <c r="C644" s="205"/>
      <c r="D644" s="205"/>
      <c r="E644" s="205"/>
      <c r="F644" s="205"/>
    </row>
    <row r="645" ht="13.5" customHeight="1">
      <c r="A645" s="182"/>
      <c r="B645" s="205"/>
      <c r="C645" s="205"/>
      <c r="D645" s="205"/>
      <c r="E645" s="205"/>
      <c r="F645" s="205"/>
    </row>
    <row r="646" ht="13.5" customHeight="1">
      <c r="A646" s="182"/>
      <c r="B646" s="205"/>
      <c r="C646" s="205"/>
      <c r="D646" s="205"/>
      <c r="E646" s="205"/>
      <c r="F646" s="205"/>
    </row>
    <row r="647" ht="13.5" customHeight="1">
      <c r="A647" s="182"/>
      <c r="B647" s="205"/>
      <c r="C647" s="205"/>
      <c r="D647" s="205"/>
      <c r="E647" s="205"/>
      <c r="F647" s="205"/>
    </row>
    <row r="648" ht="13.5" customHeight="1">
      <c r="A648" s="182"/>
      <c r="B648" s="205"/>
      <c r="C648" s="205"/>
      <c r="D648" s="205"/>
      <c r="E648" s="205"/>
      <c r="F648" s="205"/>
    </row>
    <row r="649" ht="13.5" customHeight="1">
      <c r="A649" s="182"/>
      <c r="B649" s="205"/>
      <c r="C649" s="205"/>
      <c r="D649" s="205"/>
      <c r="E649" s="205"/>
      <c r="F649" s="205"/>
    </row>
    <row r="650" ht="13.5" customHeight="1">
      <c r="A650" s="182"/>
      <c r="B650" s="205"/>
      <c r="C650" s="205"/>
      <c r="D650" s="205"/>
      <c r="E650" s="205"/>
      <c r="F650" s="205"/>
    </row>
    <row r="651" ht="13.5" customHeight="1">
      <c r="A651" s="182"/>
      <c r="B651" s="205"/>
      <c r="C651" s="205"/>
      <c r="D651" s="205"/>
      <c r="E651" s="205"/>
      <c r="F651" s="205"/>
    </row>
    <row r="652" ht="13.5" customHeight="1">
      <c r="A652" s="182"/>
      <c r="B652" s="205"/>
      <c r="C652" s="205"/>
      <c r="D652" s="205"/>
      <c r="E652" s="205"/>
      <c r="F652" s="205"/>
    </row>
    <row r="653" ht="13.5" customHeight="1">
      <c r="A653" s="182"/>
      <c r="B653" s="205"/>
      <c r="C653" s="205"/>
      <c r="D653" s="205"/>
      <c r="E653" s="205"/>
      <c r="F653" s="205"/>
    </row>
    <row r="654" ht="13.5" customHeight="1">
      <c r="A654" s="182"/>
      <c r="B654" s="205"/>
      <c r="C654" s="205"/>
      <c r="D654" s="205"/>
      <c r="E654" s="205"/>
      <c r="F654" s="205"/>
    </row>
    <row r="655" ht="13.5" customHeight="1">
      <c r="A655" s="182"/>
      <c r="B655" s="205"/>
      <c r="C655" s="205"/>
      <c r="D655" s="205"/>
      <c r="E655" s="205"/>
      <c r="F655" s="205"/>
    </row>
    <row r="656" ht="13.5" customHeight="1">
      <c r="A656" s="182"/>
      <c r="B656" s="205"/>
      <c r="C656" s="205"/>
      <c r="D656" s="205"/>
      <c r="E656" s="205"/>
      <c r="F656" s="205"/>
    </row>
    <row r="657" ht="13.5" customHeight="1">
      <c r="A657" s="182"/>
      <c r="B657" s="205"/>
      <c r="C657" s="205"/>
      <c r="D657" s="205"/>
      <c r="E657" s="205"/>
      <c r="F657" s="205"/>
    </row>
    <row r="658" ht="13.5" customHeight="1">
      <c r="A658" s="182"/>
      <c r="B658" s="205"/>
      <c r="C658" s="205"/>
      <c r="D658" s="205"/>
      <c r="E658" s="205"/>
      <c r="F658" s="205"/>
    </row>
    <row r="659" ht="13.5" customHeight="1">
      <c r="A659" s="182"/>
      <c r="B659" s="205"/>
      <c r="C659" s="205"/>
      <c r="D659" s="205"/>
      <c r="E659" s="205"/>
      <c r="F659" s="205"/>
    </row>
    <row r="660" ht="13.5" customHeight="1">
      <c r="A660" s="182"/>
      <c r="B660" s="205"/>
      <c r="C660" s="205"/>
      <c r="D660" s="205"/>
      <c r="E660" s="205"/>
      <c r="F660" s="205"/>
    </row>
    <row r="661" ht="13.5" customHeight="1">
      <c r="A661" s="182"/>
      <c r="B661" s="205"/>
      <c r="C661" s="205"/>
      <c r="D661" s="205"/>
      <c r="E661" s="205"/>
      <c r="F661" s="205"/>
    </row>
    <row r="662" ht="13.5" customHeight="1">
      <c r="A662" s="182"/>
      <c r="B662" s="205"/>
      <c r="C662" s="205"/>
      <c r="D662" s="205"/>
      <c r="E662" s="205"/>
      <c r="F662" s="205"/>
    </row>
    <row r="663" ht="13.5" customHeight="1">
      <c r="A663" s="182"/>
      <c r="B663" s="205"/>
      <c r="C663" s="205"/>
      <c r="D663" s="205"/>
      <c r="E663" s="205"/>
      <c r="F663" s="205"/>
    </row>
    <row r="664" ht="13.5" customHeight="1">
      <c r="A664" s="182"/>
      <c r="B664" s="205"/>
      <c r="C664" s="205"/>
      <c r="D664" s="205"/>
      <c r="E664" s="205"/>
      <c r="F664" s="205"/>
    </row>
    <row r="665" ht="13.5" customHeight="1">
      <c r="A665" s="182"/>
      <c r="B665" s="205"/>
      <c r="C665" s="205"/>
      <c r="D665" s="205"/>
      <c r="E665" s="205"/>
      <c r="F665" s="205"/>
    </row>
    <row r="666" ht="13.5" customHeight="1">
      <c r="A666" s="182"/>
      <c r="B666" s="205"/>
      <c r="C666" s="205"/>
      <c r="D666" s="205"/>
      <c r="E666" s="205"/>
      <c r="F666" s="205"/>
    </row>
    <row r="667" ht="13.5" customHeight="1">
      <c r="A667" s="182"/>
      <c r="B667" s="205"/>
      <c r="C667" s="205"/>
      <c r="D667" s="205"/>
      <c r="E667" s="205"/>
      <c r="F667" s="205"/>
    </row>
    <row r="668" ht="13.5" customHeight="1">
      <c r="A668" s="182"/>
      <c r="B668" s="205"/>
      <c r="C668" s="205"/>
      <c r="D668" s="205"/>
      <c r="E668" s="205"/>
      <c r="F668" s="205"/>
    </row>
    <row r="669" ht="13.5" customHeight="1">
      <c r="A669" s="182"/>
      <c r="B669" s="205"/>
      <c r="C669" s="205"/>
      <c r="D669" s="205"/>
      <c r="E669" s="205"/>
      <c r="F669" s="205"/>
    </row>
    <row r="670" ht="13.5" customHeight="1">
      <c r="A670" s="182"/>
      <c r="B670" s="205"/>
      <c r="C670" s="205"/>
      <c r="D670" s="205"/>
      <c r="E670" s="205"/>
      <c r="F670" s="205"/>
    </row>
    <row r="671" ht="13.5" customHeight="1">
      <c r="A671" s="182"/>
      <c r="B671" s="205"/>
      <c r="C671" s="205"/>
      <c r="D671" s="205"/>
      <c r="E671" s="205"/>
      <c r="F671" s="205"/>
    </row>
    <row r="672" ht="13.5" customHeight="1">
      <c r="A672" s="182"/>
      <c r="B672" s="205"/>
      <c r="C672" s="205"/>
      <c r="D672" s="205"/>
      <c r="E672" s="205"/>
      <c r="F672" s="205"/>
    </row>
    <row r="673" ht="13.5" customHeight="1">
      <c r="A673" s="182"/>
      <c r="B673" s="205"/>
      <c r="C673" s="205"/>
      <c r="D673" s="205"/>
      <c r="E673" s="205"/>
      <c r="F673" s="205"/>
    </row>
    <row r="674" ht="13.5" customHeight="1">
      <c r="A674" s="182"/>
      <c r="B674" s="205"/>
      <c r="C674" s="205"/>
      <c r="D674" s="205"/>
      <c r="E674" s="205"/>
      <c r="F674" s="205"/>
    </row>
    <row r="675" ht="13.5" customHeight="1">
      <c r="A675" s="182"/>
      <c r="B675" s="205"/>
      <c r="C675" s="205"/>
      <c r="D675" s="205"/>
      <c r="E675" s="205"/>
      <c r="F675" s="205"/>
    </row>
    <row r="676" ht="13.5" customHeight="1">
      <c r="A676" s="182"/>
      <c r="B676" s="205"/>
      <c r="C676" s="205"/>
      <c r="D676" s="205"/>
      <c r="E676" s="205"/>
      <c r="F676" s="205"/>
    </row>
    <row r="677" ht="13.5" customHeight="1">
      <c r="A677" s="182"/>
      <c r="B677" s="205"/>
      <c r="C677" s="205"/>
      <c r="D677" s="205"/>
      <c r="E677" s="205"/>
      <c r="F677" s="205"/>
    </row>
    <row r="678" ht="13.5" customHeight="1">
      <c r="A678" s="182"/>
      <c r="B678" s="205"/>
      <c r="C678" s="205"/>
      <c r="D678" s="205"/>
      <c r="E678" s="205"/>
      <c r="F678" s="205"/>
    </row>
    <row r="679" ht="13.5" customHeight="1">
      <c r="A679" s="182"/>
      <c r="B679" s="205"/>
      <c r="C679" s="205"/>
      <c r="D679" s="205"/>
      <c r="E679" s="205"/>
      <c r="F679" s="205"/>
    </row>
    <row r="680" ht="13.5" customHeight="1">
      <c r="A680" s="182"/>
      <c r="B680" s="205"/>
      <c r="C680" s="205"/>
      <c r="D680" s="205"/>
      <c r="E680" s="205"/>
      <c r="F680" s="205"/>
    </row>
    <row r="681" ht="13.5" customHeight="1">
      <c r="A681" s="182"/>
      <c r="B681" s="205"/>
      <c r="C681" s="205"/>
      <c r="D681" s="205"/>
      <c r="E681" s="205"/>
      <c r="F681" s="205"/>
    </row>
    <row r="682" ht="13.5" customHeight="1">
      <c r="A682" s="182"/>
      <c r="B682" s="205"/>
      <c r="C682" s="205"/>
      <c r="D682" s="205"/>
      <c r="E682" s="205"/>
      <c r="F682" s="205"/>
    </row>
    <row r="683" ht="13.5" customHeight="1">
      <c r="A683" s="182"/>
      <c r="B683" s="205"/>
      <c r="C683" s="205"/>
      <c r="D683" s="205"/>
      <c r="E683" s="205"/>
      <c r="F683" s="205"/>
    </row>
    <row r="684" ht="13.5" customHeight="1">
      <c r="A684" s="182"/>
      <c r="B684" s="205"/>
      <c r="C684" s="205"/>
      <c r="D684" s="205"/>
      <c r="E684" s="205"/>
      <c r="F684" s="205"/>
    </row>
    <row r="685" ht="13.5" customHeight="1">
      <c r="A685" s="182"/>
      <c r="B685" s="205"/>
      <c r="C685" s="205"/>
      <c r="D685" s="205"/>
      <c r="E685" s="205"/>
      <c r="F685" s="205"/>
    </row>
    <row r="686" ht="13.5" customHeight="1">
      <c r="A686" s="182"/>
      <c r="B686" s="205"/>
      <c r="C686" s="205"/>
      <c r="D686" s="205"/>
      <c r="E686" s="205"/>
      <c r="F686" s="205"/>
    </row>
    <row r="687" ht="13.5" customHeight="1">
      <c r="A687" s="182"/>
      <c r="B687" s="205"/>
      <c r="C687" s="205"/>
      <c r="D687" s="205"/>
      <c r="E687" s="205"/>
      <c r="F687" s="205"/>
    </row>
    <row r="688" ht="13.5" customHeight="1">
      <c r="A688" s="182"/>
      <c r="B688" s="205"/>
      <c r="C688" s="205"/>
      <c r="D688" s="205"/>
      <c r="E688" s="205"/>
      <c r="F688" s="205"/>
    </row>
    <row r="689" ht="13.5" customHeight="1">
      <c r="A689" s="182"/>
      <c r="B689" s="205"/>
      <c r="C689" s="205"/>
      <c r="D689" s="205"/>
      <c r="E689" s="205"/>
      <c r="F689" s="205"/>
    </row>
    <row r="690" ht="13.5" customHeight="1">
      <c r="A690" s="182"/>
      <c r="B690" s="205"/>
      <c r="C690" s="205"/>
      <c r="D690" s="205"/>
      <c r="E690" s="205"/>
      <c r="F690" s="205"/>
    </row>
    <row r="691" ht="13.5" customHeight="1">
      <c r="A691" s="182"/>
      <c r="B691" s="205"/>
      <c r="C691" s="205"/>
      <c r="D691" s="205"/>
      <c r="E691" s="205"/>
      <c r="F691" s="205"/>
    </row>
    <row r="692" ht="13.5" customHeight="1">
      <c r="A692" s="182"/>
      <c r="B692" s="205"/>
      <c r="C692" s="205"/>
      <c r="D692" s="205"/>
      <c r="E692" s="205"/>
      <c r="F692" s="205"/>
    </row>
    <row r="693" ht="13.5" customHeight="1">
      <c r="A693" s="182"/>
      <c r="B693" s="205"/>
      <c r="C693" s="205"/>
      <c r="D693" s="205"/>
      <c r="E693" s="205"/>
      <c r="F693" s="205"/>
    </row>
    <row r="694" ht="13.5" customHeight="1">
      <c r="A694" s="182"/>
      <c r="B694" s="205"/>
      <c r="C694" s="205"/>
      <c r="D694" s="205"/>
      <c r="E694" s="205"/>
      <c r="F694" s="205"/>
    </row>
    <row r="695" ht="13.5" customHeight="1">
      <c r="A695" s="182"/>
      <c r="B695" s="205"/>
      <c r="C695" s="205"/>
      <c r="D695" s="205"/>
      <c r="E695" s="205"/>
      <c r="F695" s="205"/>
    </row>
    <row r="696" ht="13.5" customHeight="1">
      <c r="A696" s="182"/>
      <c r="B696" s="205"/>
      <c r="C696" s="205"/>
      <c r="D696" s="205"/>
      <c r="E696" s="205"/>
      <c r="F696" s="205"/>
    </row>
    <row r="697" ht="13.5" customHeight="1">
      <c r="A697" s="182"/>
      <c r="B697" s="205"/>
      <c r="C697" s="205"/>
      <c r="D697" s="205"/>
      <c r="E697" s="205"/>
      <c r="F697" s="205"/>
    </row>
    <row r="698" ht="13.5" customHeight="1">
      <c r="A698" s="182"/>
      <c r="B698" s="205"/>
      <c r="C698" s="205"/>
      <c r="D698" s="205"/>
      <c r="E698" s="205"/>
      <c r="F698" s="205"/>
    </row>
    <row r="699" ht="13.5" customHeight="1">
      <c r="A699" s="182"/>
      <c r="B699" s="205"/>
      <c r="C699" s="205"/>
      <c r="D699" s="205"/>
      <c r="E699" s="205"/>
      <c r="F699" s="205"/>
    </row>
    <row r="700" ht="13.5" customHeight="1">
      <c r="A700" s="182"/>
      <c r="B700" s="205"/>
      <c r="C700" s="205"/>
      <c r="D700" s="205"/>
      <c r="E700" s="205"/>
      <c r="F700" s="205"/>
    </row>
    <row r="701" ht="13.5" customHeight="1">
      <c r="A701" s="182"/>
      <c r="B701" s="205"/>
      <c r="C701" s="205"/>
      <c r="D701" s="205"/>
      <c r="E701" s="205"/>
      <c r="F701" s="205"/>
    </row>
    <row r="702" ht="13.5" customHeight="1">
      <c r="A702" s="182"/>
      <c r="B702" s="205"/>
      <c r="C702" s="205"/>
      <c r="D702" s="205"/>
      <c r="E702" s="205"/>
      <c r="F702" s="205"/>
    </row>
    <row r="703" ht="13.5" customHeight="1">
      <c r="A703" s="182"/>
      <c r="B703" s="205"/>
      <c r="C703" s="205"/>
      <c r="D703" s="205"/>
      <c r="E703" s="205"/>
      <c r="F703" s="205"/>
    </row>
    <row r="704" ht="13.5" customHeight="1">
      <c r="A704" s="182"/>
      <c r="B704" s="205"/>
      <c r="C704" s="205"/>
      <c r="D704" s="205"/>
      <c r="E704" s="205"/>
      <c r="F704" s="205"/>
    </row>
    <row r="705" ht="13.5" customHeight="1">
      <c r="A705" s="182"/>
      <c r="B705" s="205"/>
      <c r="C705" s="205"/>
      <c r="D705" s="205"/>
      <c r="E705" s="205"/>
      <c r="F705" s="205"/>
    </row>
    <row r="706" ht="13.5" customHeight="1">
      <c r="A706" s="182"/>
      <c r="B706" s="205"/>
      <c r="C706" s="205"/>
      <c r="D706" s="205"/>
      <c r="E706" s="205"/>
      <c r="F706" s="205"/>
    </row>
    <row r="707" ht="13.5" customHeight="1">
      <c r="A707" s="182"/>
      <c r="B707" s="205"/>
      <c r="C707" s="205"/>
      <c r="D707" s="205"/>
      <c r="E707" s="205"/>
      <c r="F707" s="205"/>
    </row>
    <row r="708" ht="13.5" customHeight="1">
      <c r="A708" s="182"/>
      <c r="B708" s="205"/>
      <c r="C708" s="205"/>
      <c r="D708" s="205"/>
      <c r="E708" s="205"/>
      <c r="F708" s="205"/>
    </row>
    <row r="709" ht="13.5" customHeight="1">
      <c r="A709" s="182"/>
      <c r="B709" s="205"/>
      <c r="C709" s="205"/>
      <c r="D709" s="205"/>
      <c r="E709" s="205"/>
      <c r="F709" s="205"/>
    </row>
    <row r="710" ht="13.5" customHeight="1">
      <c r="A710" s="182"/>
      <c r="B710" s="205"/>
      <c r="C710" s="205"/>
      <c r="D710" s="205"/>
      <c r="E710" s="205"/>
      <c r="F710" s="205"/>
    </row>
    <row r="711" ht="13.5" customHeight="1">
      <c r="A711" s="182"/>
      <c r="B711" s="205"/>
      <c r="C711" s="205"/>
      <c r="D711" s="205"/>
      <c r="E711" s="205"/>
      <c r="F711" s="205"/>
    </row>
    <row r="712" ht="13.5" customHeight="1">
      <c r="A712" s="182"/>
      <c r="B712" s="205"/>
      <c r="C712" s="205"/>
      <c r="D712" s="205"/>
      <c r="E712" s="205"/>
      <c r="F712" s="205"/>
    </row>
    <row r="713" ht="13.5" customHeight="1">
      <c r="A713" s="182"/>
      <c r="B713" s="205"/>
      <c r="C713" s="205"/>
      <c r="D713" s="205"/>
      <c r="E713" s="205"/>
      <c r="F713" s="205"/>
    </row>
    <row r="714" ht="13.5" customHeight="1">
      <c r="A714" s="182"/>
      <c r="B714" s="205"/>
      <c r="C714" s="205"/>
      <c r="D714" s="205"/>
      <c r="E714" s="205"/>
      <c r="F714" s="205"/>
    </row>
    <row r="715" ht="13.5" customHeight="1">
      <c r="A715" s="182"/>
      <c r="B715" s="205"/>
      <c r="C715" s="205"/>
      <c r="D715" s="205"/>
      <c r="E715" s="205"/>
      <c r="F715" s="205"/>
    </row>
    <row r="716" ht="13.5" customHeight="1">
      <c r="A716" s="182"/>
      <c r="B716" s="205"/>
      <c r="C716" s="205"/>
      <c r="D716" s="205"/>
      <c r="E716" s="205"/>
      <c r="F716" s="205"/>
    </row>
    <row r="717" ht="13.5" customHeight="1">
      <c r="A717" s="182"/>
      <c r="B717" s="205"/>
      <c r="C717" s="205"/>
      <c r="D717" s="205"/>
      <c r="E717" s="205"/>
      <c r="F717" s="205"/>
    </row>
    <row r="718" ht="13.5" customHeight="1">
      <c r="A718" s="182"/>
      <c r="B718" s="205"/>
      <c r="C718" s="205"/>
      <c r="D718" s="205"/>
      <c r="E718" s="205"/>
      <c r="F718" s="205"/>
    </row>
    <row r="719" ht="13.5" customHeight="1">
      <c r="A719" s="182"/>
      <c r="B719" s="205"/>
      <c r="C719" s="205"/>
      <c r="D719" s="205"/>
      <c r="E719" s="205"/>
      <c r="F719" s="205"/>
    </row>
    <row r="720" ht="13.5" customHeight="1">
      <c r="A720" s="182"/>
      <c r="B720" s="205"/>
      <c r="C720" s="205"/>
      <c r="D720" s="205"/>
      <c r="E720" s="205"/>
      <c r="F720" s="205"/>
    </row>
    <row r="721" ht="13.5" customHeight="1">
      <c r="A721" s="182"/>
      <c r="B721" s="205"/>
      <c r="C721" s="205"/>
      <c r="D721" s="205"/>
      <c r="E721" s="205"/>
      <c r="F721" s="205"/>
    </row>
    <row r="722" ht="13.5" customHeight="1">
      <c r="A722" s="182"/>
      <c r="B722" s="205"/>
      <c r="C722" s="205"/>
      <c r="D722" s="205"/>
      <c r="E722" s="205"/>
      <c r="F722" s="205"/>
    </row>
    <row r="723" ht="13.5" customHeight="1">
      <c r="A723" s="182"/>
      <c r="B723" s="205"/>
      <c r="C723" s="205"/>
      <c r="D723" s="205"/>
      <c r="E723" s="205"/>
      <c r="F723" s="205"/>
    </row>
    <row r="724" ht="13.5" customHeight="1">
      <c r="A724" s="182"/>
      <c r="B724" s="205"/>
      <c r="C724" s="205"/>
      <c r="D724" s="205"/>
      <c r="E724" s="205"/>
      <c r="F724" s="205"/>
    </row>
    <row r="725" ht="13.5" customHeight="1">
      <c r="A725" s="182"/>
      <c r="B725" s="205"/>
      <c r="C725" s="205"/>
      <c r="D725" s="205"/>
      <c r="E725" s="205"/>
      <c r="F725" s="205"/>
    </row>
    <row r="726" ht="13.5" customHeight="1">
      <c r="A726" s="182"/>
      <c r="B726" s="205"/>
      <c r="C726" s="205"/>
      <c r="D726" s="205"/>
      <c r="E726" s="205"/>
      <c r="F726" s="205"/>
    </row>
    <row r="727" ht="13.5" customHeight="1">
      <c r="A727" s="182"/>
      <c r="B727" s="205"/>
      <c r="C727" s="205"/>
      <c r="D727" s="205"/>
      <c r="E727" s="205"/>
      <c r="F727" s="205"/>
    </row>
    <row r="728" ht="13.5" customHeight="1">
      <c r="A728" s="182"/>
      <c r="B728" s="205"/>
      <c r="C728" s="205"/>
      <c r="D728" s="205"/>
      <c r="E728" s="205"/>
      <c r="F728" s="205"/>
    </row>
    <row r="729" ht="13.5" customHeight="1">
      <c r="A729" s="182"/>
      <c r="B729" s="205"/>
      <c r="C729" s="205"/>
      <c r="D729" s="205"/>
      <c r="E729" s="205"/>
      <c r="F729" s="205"/>
    </row>
    <row r="730" ht="13.5" customHeight="1">
      <c r="A730" s="182"/>
      <c r="B730" s="205"/>
      <c r="C730" s="205"/>
      <c r="D730" s="205"/>
      <c r="E730" s="205"/>
      <c r="F730" s="205"/>
    </row>
    <row r="731" ht="13.5" customHeight="1">
      <c r="A731" s="182"/>
      <c r="B731" s="205"/>
      <c r="C731" s="205"/>
      <c r="D731" s="205"/>
      <c r="E731" s="205"/>
      <c r="F731" s="205"/>
    </row>
    <row r="732" ht="13.5" customHeight="1">
      <c r="A732" s="182"/>
      <c r="B732" s="205"/>
      <c r="C732" s="205"/>
      <c r="D732" s="205"/>
      <c r="E732" s="205"/>
      <c r="F732" s="205"/>
    </row>
    <row r="733" ht="13.5" customHeight="1">
      <c r="A733" s="182"/>
      <c r="B733" s="205"/>
      <c r="C733" s="205"/>
      <c r="D733" s="205"/>
      <c r="E733" s="205"/>
      <c r="F733" s="205"/>
    </row>
    <row r="734" ht="13.5" customHeight="1">
      <c r="A734" s="182"/>
      <c r="B734" s="205"/>
      <c r="C734" s="205"/>
      <c r="D734" s="205"/>
      <c r="E734" s="205"/>
      <c r="F734" s="205"/>
    </row>
    <row r="735" ht="13.5" customHeight="1">
      <c r="A735" s="182"/>
      <c r="B735" s="205"/>
      <c r="C735" s="205"/>
      <c r="D735" s="205"/>
      <c r="E735" s="205"/>
      <c r="F735" s="205"/>
    </row>
    <row r="736" ht="13.5" customHeight="1">
      <c r="A736" s="182"/>
      <c r="B736" s="205"/>
      <c r="C736" s="205"/>
      <c r="D736" s="205"/>
      <c r="E736" s="205"/>
      <c r="F736" s="205"/>
    </row>
    <row r="737" ht="13.5" customHeight="1">
      <c r="A737" s="182"/>
      <c r="B737" s="205"/>
      <c r="C737" s="205"/>
      <c r="D737" s="205"/>
      <c r="E737" s="205"/>
      <c r="F737" s="205"/>
    </row>
    <row r="738" ht="13.5" customHeight="1">
      <c r="A738" s="182"/>
      <c r="B738" s="205"/>
      <c r="C738" s="205"/>
      <c r="D738" s="205"/>
      <c r="E738" s="205"/>
      <c r="F738" s="205"/>
    </row>
    <row r="739" ht="13.5" customHeight="1">
      <c r="A739" s="182"/>
      <c r="B739" s="205"/>
      <c r="C739" s="205"/>
      <c r="D739" s="205"/>
      <c r="E739" s="205"/>
      <c r="F739" s="205"/>
    </row>
    <row r="740" ht="13.5" customHeight="1">
      <c r="A740" s="182"/>
      <c r="B740" s="205"/>
      <c r="C740" s="205"/>
      <c r="D740" s="205"/>
      <c r="E740" s="205"/>
      <c r="F740" s="205"/>
    </row>
    <row r="741" ht="13.5" customHeight="1">
      <c r="A741" s="182"/>
      <c r="B741" s="205"/>
      <c r="C741" s="205"/>
      <c r="D741" s="205"/>
      <c r="E741" s="205"/>
      <c r="F741" s="205"/>
    </row>
    <row r="742" ht="13.5" customHeight="1">
      <c r="A742" s="182"/>
      <c r="B742" s="205"/>
      <c r="C742" s="205"/>
      <c r="D742" s="205"/>
      <c r="E742" s="205"/>
      <c r="F742" s="205"/>
    </row>
    <row r="743" ht="13.5" customHeight="1">
      <c r="A743" s="182"/>
      <c r="B743" s="205"/>
      <c r="C743" s="205"/>
      <c r="D743" s="205"/>
      <c r="E743" s="205"/>
      <c r="F743" s="205"/>
    </row>
    <row r="744" ht="13.5" customHeight="1">
      <c r="A744" s="182"/>
      <c r="B744" s="205"/>
      <c r="C744" s="205"/>
      <c r="D744" s="205"/>
      <c r="E744" s="205"/>
      <c r="F744" s="205"/>
    </row>
    <row r="745" ht="13.5" customHeight="1">
      <c r="A745" s="182"/>
      <c r="B745" s="205"/>
      <c r="C745" s="205"/>
      <c r="D745" s="205"/>
      <c r="E745" s="205"/>
      <c r="F745" s="205"/>
    </row>
    <row r="746" ht="13.5" customHeight="1">
      <c r="A746" s="182"/>
      <c r="B746" s="205"/>
      <c r="C746" s="205"/>
      <c r="D746" s="205"/>
      <c r="E746" s="205"/>
      <c r="F746" s="205"/>
    </row>
    <row r="747" ht="13.5" customHeight="1">
      <c r="A747" s="182"/>
      <c r="B747" s="205"/>
      <c r="C747" s="205"/>
      <c r="D747" s="205"/>
      <c r="E747" s="205"/>
      <c r="F747" s="205"/>
    </row>
    <row r="748" ht="13.5" customHeight="1">
      <c r="A748" s="182"/>
      <c r="B748" s="205"/>
      <c r="C748" s="205"/>
      <c r="D748" s="205"/>
      <c r="E748" s="205"/>
      <c r="F748" s="205"/>
    </row>
    <row r="749" ht="13.5" customHeight="1">
      <c r="A749" s="182"/>
      <c r="B749" s="205"/>
      <c r="C749" s="205"/>
      <c r="D749" s="205"/>
      <c r="E749" s="205"/>
      <c r="F749" s="205"/>
    </row>
    <row r="750" ht="13.5" customHeight="1">
      <c r="A750" s="182"/>
      <c r="B750" s="205"/>
      <c r="C750" s="205"/>
      <c r="D750" s="205"/>
      <c r="E750" s="205"/>
      <c r="F750" s="205"/>
    </row>
    <row r="751" ht="13.5" customHeight="1">
      <c r="A751" s="182"/>
      <c r="B751" s="205"/>
      <c r="C751" s="205"/>
      <c r="D751" s="205"/>
      <c r="E751" s="205"/>
      <c r="F751" s="205"/>
    </row>
    <row r="752" ht="13.5" customHeight="1">
      <c r="A752" s="182"/>
      <c r="B752" s="205"/>
      <c r="C752" s="205"/>
      <c r="D752" s="205"/>
      <c r="E752" s="205"/>
      <c r="F752" s="205"/>
    </row>
    <row r="753" ht="13.5" customHeight="1">
      <c r="A753" s="182"/>
      <c r="B753" s="205"/>
      <c r="C753" s="205"/>
      <c r="D753" s="205"/>
      <c r="E753" s="205"/>
      <c r="F753" s="205"/>
    </row>
    <row r="754" ht="13.5" customHeight="1">
      <c r="A754" s="182"/>
      <c r="B754" s="205"/>
      <c r="C754" s="205"/>
      <c r="D754" s="205"/>
      <c r="E754" s="205"/>
      <c r="F754" s="205"/>
    </row>
    <row r="755" ht="13.5" customHeight="1">
      <c r="A755" s="182"/>
      <c r="B755" s="205"/>
      <c r="C755" s="205"/>
      <c r="D755" s="205"/>
      <c r="E755" s="205"/>
      <c r="F755" s="205"/>
    </row>
    <row r="756" ht="13.5" customHeight="1">
      <c r="A756" s="182"/>
      <c r="B756" s="205"/>
      <c r="C756" s="205"/>
      <c r="D756" s="205"/>
      <c r="E756" s="205"/>
      <c r="F756" s="205"/>
    </row>
    <row r="757" ht="13.5" customHeight="1">
      <c r="A757" s="182"/>
      <c r="B757" s="205"/>
      <c r="C757" s="205"/>
      <c r="D757" s="205"/>
      <c r="E757" s="205"/>
      <c r="F757" s="205"/>
    </row>
    <row r="758" ht="13.5" customHeight="1">
      <c r="A758" s="182"/>
      <c r="B758" s="205"/>
      <c r="C758" s="205"/>
      <c r="D758" s="205"/>
      <c r="E758" s="205"/>
      <c r="F758" s="205"/>
    </row>
    <row r="759" ht="13.5" customHeight="1">
      <c r="A759" s="182"/>
      <c r="B759" s="205"/>
      <c r="C759" s="205"/>
      <c r="D759" s="205"/>
      <c r="E759" s="205"/>
      <c r="F759" s="205"/>
    </row>
    <row r="760" ht="13.5" customHeight="1">
      <c r="A760" s="182"/>
      <c r="B760" s="205"/>
      <c r="C760" s="205"/>
      <c r="D760" s="205"/>
      <c r="E760" s="205"/>
      <c r="F760" s="205"/>
    </row>
    <row r="761" ht="13.5" customHeight="1">
      <c r="A761" s="182"/>
      <c r="B761" s="205"/>
      <c r="C761" s="205"/>
      <c r="D761" s="205"/>
      <c r="E761" s="205"/>
      <c r="F761" s="205"/>
    </row>
    <row r="762" ht="13.5" customHeight="1">
      <c r="A762" s="182"/>
      <c r="B762" s="205"/>
      <c r="C762" s="205"/>
      <c r="D762" s="205"/>
      <c r="E762" s="205"/>
      <c r="F762" s="205"/>
    </row>
    <row r="763" ht="13.5" customHeight="1">
      <c r="A763" s="182"/>
      <c r="B763" s="205"/>
      <c r="C763" s="205"/>
      <c r="D763" s="205"/>
      <c r="E763" s="205"/>
      <c r="F763" s="205"/>
    </row>
    <row r="764" ht="13.5" customHeight="1">
      <c r="A764" s="182"/>
      <c r="B764" s="205"/>
      <c r="C764" s="205"/>
      <c r="D764" s="205"/>
      <c r="E764" s="205"/>
      <c r="F764" s="205"/>
    </row>
    <row r="765" ht="13.5" customHeight="1">
      <c r="A765" s="182"/>
      <c r="B765" s="205"/>
      <c r="C765" s="205"/>
      <c r="D765" s="205"/>
      <c r="E765" s="205"/>
      <c r="F765" s="205"/>
    </row>
    <row r="766" ht="13.5" customHeight="1">
      <c r="A766" s="182"/>
      <c r="B766" s="205"/>
      <c r="C766" s="205"/>
      <c r="D766" s="205"/>
      <c r="E766" s="205"/>
      <c r="F766" s="205"/>
    </row>
    <row r="767" ht="13.5" customHeight="1">
      <c r="A767" s="182"/>
      <c r="B767" s="205"/>
      <c r="C767" s="205"/>
      <c r="D767" s="205"/>
      <c r="E767" s="205"/>
      <c r="F767" s="205"/>
    </row>
    <row r="768" ht="13.5" customHeight="1">
      <c r="A768" s="182"/>
      <c r="B768" s="205"/>
      <c r="C768" s="205"/>
      <c r="D768" s="205"/>
      <c r="E768" s="205"/>
      <c r="F768" s="205"/>
    </row>
    <row r="769" ht="13.5" customHeight="1">
      <c r="A769" s="182"/>
      <c r="B769" s="205"/>
      <c r="C769" s="205"/>
      <c r="D769" s="205"/>
      <c r="E769" s="205"/>
      <c r="F769" s="205"/>
    </row>
    <row r="770" ht="13.5" customHeight="1">
      <c r="A770" s="182"/>
      <c r="B770" s="205"/>
      <c r="C770" s="205"/>
      <c r="D770" s="205"/>
      <c r="E770" s="205"/>
      <c r="F770" s="205"/>
    </row>
    <row r="771" ht="13.5" customHeight="1">
      <c r="A771" s="182"/>
      <c r="B771" s="205"/>
      <c r="C771" s="205"/>
      <c r="D771" s="205"/>
      <c r="E771" s="205"/>
      <c r="F771" s="205"/>
    </row>
    <row r="772" ht="13.5" customHeight="1">
      <c r="A772" s="182"/>
      <c r="B772" s="205"/>
      <c r="C772" s="205"/>
      <c r="D772" s="205"/>
      <c r="E772" s="205"/>
      <c r="F772" s="205"/>
    </row>
    <row r="773" ht="13.5" customHeight="1">
      <c r="A773" s="182"/>
      <c r="B773" s="205"/>
      <c r="C773" s="205"/>
      <c r="D773" s="205"/>
      <c r="E773" s="205"/>
      <c r="F773" s="205"/>
    </row>
    <row r="774" ht="13.5" customHeight="1">
      <c r="A774" s="182"/>
      <c r="B774" s="205"/>
      <c r="C774" s="205"/>
      <c r="D774" s="205"/>
      <c r="E774" s="205"/>
      <c r="F774" s="205"/>
    </row>
    <row r="775" ht="13.5" customHeight="1">
      <c r="A775" s="182"/>
      <c r="B775" s="205"/>
      <c r="C775" s="205"/>
      <c r="D775" s="205"/>
      <c r="E775" s="205"/>
      <c r="F775" s="205"/>
    </row>
    <row r="776" ht="13.5" customHeight="1">
      <c r="A776" s="182"/>
      <c r="B776" s="205"/>
      <c r="C776" s="205"/>
      <c r="D776" s="205"/>
      <c r="E776" s="205"/>
      <c r="F776" s="205"/>
    </row>
    <row r="777" ht="13.5" customHeight="1">
      <c r="A777" s="182"/>
      <c r="B777" s="205"/>
      <c r="C777" s="205"/>
      <c r="D777" s="205"/>
      <c r="E777" s="205"/>
      <c r="F777" s="205"/>
    </row>
    <row r="778" ht="13.5" customHeight="1">
      <c r="A778" s="182"/>
      <c r="B778" s="205"/>
      <c r="C778" s="205"/>
      <c r="D778" s="205"/>
      <c r="E778" s="205"/>
      <c r="F778" s="205"/>
    </row>
    <row r="779" ht="13.5" customHeight="1">
      <c r="A779" s="182"/>
      <c r="B779" s="205"/>
      <c r="C779" s="205"/>
      <c r="D779" s="205"/>
      <c r="E779" s="205"/>
      <c r="F779" s="205"/>
    </row>
    <row r="780" ht="13.5" customHeight="1">
      <c r="A780" s="182"/>
      <c r="B780" s="205"/>
      <c r="C780" s="205"/>
      <c r="D780" s="205"/>
      <c r="E780" s="205"/>
      <c r="F780" s="205"/>
    </row>
    <row r="781" ht="13.5" customHeight="1">
      <c r="A781" s="182"/>
      <c r="B781" s="205"/>
      <c r="C781" s="205"/>
      <c r="D781" s="205"/>
      <c r="E781" s="205"/>
      <c r="F781" s="205"/>
    </row>
    <row r="782" ht="13.5" customHeight="1">
      <c r="A782" s="182"/>
      <c r="B782" s="205"/>
      <c r="C782" s="205"/>
      <c r="D782" s="205"/>
      <c r="E782" s="205"/>
      <c r="F782" s="205"/>
    </row>
    <row r="783" ht="13.5" customHeight="1">
      <c r="A783" s="182"/>
      <c r="B783" s="205"/>
      <c r="C783" s="205"/>
      <c r="D783" s="205"/>
      <c r="E783" s="205"/>
      <c r="F783" s="205"/>
    </row>
    <row r="784" ht="13.5" customHeight="1">
      <c r="A784" s="182"/>
      <c r="B784" s="205"/>
      <c r="C784" s="205"/>
      <c r="D784" s="205"/>
      <c r="E784" s="205"/>
      <c r="F784" s="205"/>
    </row>
    <row r="785" ht="13.5" customHeight="1">
      <c r="A785" s="182"/>
      <c r="B785" s="205"/>
      <c r="C785" s="205"/>
      <c r="D785" s="205"/>
      <c r="E785" s="205"/>
      <c r="F785" s="205"/>
    </row>
    <row r="786" ht="13.5" customHeight="1">
      <c r="A786" s="182"/>
      <c r="B786" s="205"/>
      <c r="C786" s="205"/>
      <c r="D786" s="205"/>
      <c r="E786" s="205"/>
      <c r="F786" s="205"/>
    </row>
    <row r="787" ht="13.5" customHeight="1">
      <c r="A787" s="182"/>
      <c r="B787" s="205"/>
      <c r="C787" s="205"/>
      <c r="D787" s="205"/>
      <c r="E787" s="205"/>
      <c r="F787" s="205"/>
    </row>
    <row r="788" ht="13.5" customHeight="1">
      <c r="A788" s="182"/>
      <c r="B788" s="205"/>
      <c r="C788" s="205"/>
      <c r="D788" s="205"/>
      <c r="E788" s="205"/>
      <c r="F788" s="205"/>
    </row>
    <row r="789" ht="13.5" customHeight="1">
      <c r="A789" s="182"/>
      <c r="B789" s="205"/>
      <c r="C789" s="205"/>
      <c r="D789" s="205"/>
      <c r="E789" s="205"/>
      <c r="F789" s="205"/>
    </row>
    <row r="790" ht="13.5" customHeight="1">
      <c r="A790" s="182"/>
      <c r="B790" s="205"/>
      <c r="C790" s="205"/>
      <c r="D790" s="205"/>
      <c r="E790" s="205"/>
      <c r="F790" s="205"/>
    </row>
    <row r="791" ht="13.5" customHeight="1">
      <c r="A791" s="182"/>
      <c r="B791" s="205"/>
      <c r="C791" s="205"/>
      <c r="D791" s="205"/>
      <c r="E791" s="205"/>
      <c r="F791" s="205"/>
    </row>
    <row r="792" ht="13.5" customHeight="1">
      <c r="A792" s="182"/>
      <c r="B792" s="205"/>
      <c r="C792" s="205"/>
      <c r="D792" s="205"/>
      <c r="E792" s="205"/>
      <c r="F792" s="205"/>
    </row>
    <row r="793" ht="13.5" customHeight="1">
      <c r="A793" s="182"/>
      <c r="B793" s="205"/>
      <c r="C793" s="205"/>
      <c r="D793" s="205"/>
      <c r="E793" s="205"/>
      <c r="F793" s="205"/>
    </row>
    <row r="794" ht="13.5" customHeight="1">
      <c r="A794" s="182"/>
      <c r="B794" s="205"/>
      <c r="C794" s="205"/>
      <c r="D794" s="205"/>
      <c r="E794" s="205"/>
      <c r="F794" s="205"/>
    </row>
    <row r="795" ht="13.5" customHeight="1">
      <c r="A795" s="182"/>
      <c r="B795" s="205"/>
      <c r="C795" s="205"/>
      <c r="D795" s="205"/>
      <c r="E795" s="205"/>
      <c r="F795" s="205"/>
    </row>
    <row r="796" ht="13.5" customHeight="1">
      <c r="A796" s="182"/>
      <c r="B796" s="205"/>
      <c r="C796" s="205"/>
      <c r="D796" s="205"/>
      <c r="E796" s="205"/>
      <c r="F796" s="205"/>
    </row>
    <row r="797" ht="13.5" customHeight="1">
      <c r="A797" s="182"/>
      <c r="B797" s="205"/>
      <c r="C797" s="205"/>
      <c r="D797" s="205"/>
      <c r="E797" s="205"/>
      <c r="F797" s="205"/>
    </row>
    <row r="798" ht="13.5" customHeight="1">
      <c r="A798" s="182"/>
      <c r="B798" s="205"/>
      <c r="C798" s="205"/>
      <c r="D798" s="205"/>
      <c r="E798" s="205"/>
      <c r="F798" s="205"/>
    </row>
    <row r="799" ht="13.5" customHeight="1">
      <c r="A799" s="182"/>
      <c r="B799" s="205"/>
      <c r="C799" s="205"/>
      <c r="D799" s="205"/>
      <c r="E799" s="205"/>
      <c r="F799" s="205"/>
    </row>
    <row r="800" ht="13.5" customHeight="1">
      <c r="A800" s="182"/>
      <c r="B800" s="205"/>
      <c r="C800" s="205"/>
      <c r="D800" s="205"/>
      <c r="E800" s="205"/>
      <c r="F800" s="205"/>
    </row>
    <row r="801" ht="13.5" customHeight="1">
      <c r="A801" s="182"/>
      <c r="B801" s="205"/>
      <c r="C801" s="205"/>
      <c r="D801" s="205"/>
      <c r="E801" s="205"/>
      <c r="F801" s="205"/>
    </row>
    <row r="802" ht="13.5" customHeight="1">
      <c r="A802" s="182"/>
      <c r="B802" s="205"/>
      <c r="C802" s="205"/>
      <c r="D802" s="205"/>
      <c r="E802" s="205"/>
      <c r="F802" s="205"/>
    </row>
    <row r="803" ht="13.5" customHeight="1">
      <c r="A803" s="182"/>
      <c r="B803" s="205"/>
      <c r="C803" s="205"/>
      <c r="D803" s="205"/>
      <c r="E803" s="205"/>
      <c r="F803" s="205"/>
    </row>
    <row r="804" ht="13.5" customHeight="1">
      <c r="A804" s="182"/>
      <c r="B804" s="205"/>
      <c r="C804" s="205"/>
      <c r="D804" s="205"/>
      <c r="E804" s="205"/>
      <c r="F804" s="205"/>
    </row>
    <row r="805" ht="13.5" customHeight="1">
      <c r="A805" s="182"/>
      <c r="B805" s="205"/>
      <c r="C805" s="205"/>
      <c r="D805" s="205"/>
      <c r="E805" s="205"/>
      <c r="F805" s="205"/>
    </row>
    <row r="806" ht="13.5" customHeight="1">
      <c r="A806" s="182"/>
      <c r="B806" s="205"/>
      <c r="C806" s="205"/>
      <c r="D806" s="205"/>
      <c r="E806" s="205"/>
      <c r="F806" s="205"/>
    </row>
    <row r="807" ht="13.5" customHeight="1">
      <c r="A807" s="182"/>
      <c r="B807" s="205"/>
      <c r="C807" s="205"/>
      <c r="D807" s="205"/>
      <c r="E807" s="205"/>
      <c r="F807" s="205"/>
    </row>
    <row r="808" ht="13.5" customHeight="1">
      <c r="A808" s="182"/>
      <c r="B808" s="205"/>
      <c r="C808" s="205"/>
      <c r="D808" s="205"/>
      <c r="E808" s="205"/>
      <c r="F808" s="205"/>
    </row>
    <row r="809" ht="13.5" customHeight="1">
      <c r="A809" s="182"/>
      <c r="B809" s="205"/>
      <c r="C809" s="205"/>
      <c r="D809" s="205"/>
      <c r="E809" s="205"/>
      <c r="F809" s="205"/>
    </row>
    <row r="810" ht="13.5" customHeight="1">
      <c r="A810" s="182"/>
      <c r="B810" s="205"/>
      <c r="C810" s="205"/>
      <c r="D810" s="205"/>
      <c r="E810" s="205"/>
      <c r="F810" s="205"/>
    </row>
    <row r="811" ht="13.5" customHeight="1">
      <c r="A811" s="182"/>
      <c r="B811" s="205"/>
      <c r="C811" s="205"/>
      <c r="D811" s="205"/>
      <c r="E811" s="205"/>
      <c r="F811" s="205"/>
    </row>
    <row r="812" ht="13.5" customHeight="1">
      <c r="A812" s="182"/>
      <c r="B812" s="205"/>
      <c r="C812" s="205"/>
      <c r="D812" s="205"/>
      <c r="E812" s="205"/>
      <c r="F812" s="205"/>
    </row>
    <row r="813" ht="13.5" customHeight="1">
      <c r="A813" s="182"/>
      <c r="B813" s="205"/>
      <c r="C813" s="205"/>
      <c r="D813" s="205"/>
      <c r="E813" s="205"/>
      <c r="F813" s="205"/>
    </row>
    <row r="814" ht="13.5" customHeight="1">
      <c r="A814" s="182"/>
      <c r="B814" s="205"/>
      <c r="C814" s="205"/>
      <c r="D814" s="205"/>
      <c r="E814" s="205"/>
      <c r="F814" s="205"/>
    </row>
    <row r="815" ht="13.5" customHeight="1">
      <c r="A815" s="182"/>
      <c r="B815" s="205"/>
      <c r="C815" s="205"/>
      <c r="D815" s="205"/>
      <c r="E815" s="205"/>
      <c r="F815" s="205"/>
    </row>
    <row r="816" ht="13.5" customHeight="1">
      <c r="A816" s="182"/>
      <c r="B816" s="205"/>
      <c r="C816" s="205"/>
      <c r="D816" s="205"/>
      <c r="E816" s="205"/>
      <c r="F816" s="205"/>
    </row>
    <row r="817" ht="13.5" customHeight="1">
      <c r="A817" s="182"/>
      <c r="B817" s="205"/>
      <c r="C817" s="205"/>
      <c r="D817" s="205"/>
      <c r="E817" s="205"/>
      <c r="F817" s="205"/>
    </row>
    <row r="818" ht="13.5" customHeight="1">
      <c r="A818" s="182"/>
      <c r="B818" s="205"/>
      <c r="C818" s="205"/>
      <c r="D818" s="205"/>
      <c r="E818" s="205"/>
      <c r="F818" s="205"/>
    </row>
    <row r="819" ht="13.5" customHeight="1">
      <c r="A819" s="182"/>
      <c r="B819" s="205"/>
      <c r="C819" s="205"/>
      <c r="D819" s="205"/>
      <c r="E819" s="205"/>
      <c r="F819" s="205"/>
    </row>
    <row r="820" ht="13.5" customHeight="1">
      <c r="A820" s="182"/>
      <c r="B820" s="205"/>
      <c r="C820" s="205"/>
      <c r="D820" s="205"/>
      <c r="E820" s="205"/>
      <c r="F820" s="205"/>
    </row>
    <row r="821" ht="13.5" customHeight="1">
      <c r="A821" s="182"/>
      <c r="B821" s="205"/>
      <c r="C821" s="205"/>
      <c r="D821" s="205"/>
      <c r="E821" s="205"/>
      <c r="F821" s="205"/>
    </row>
    <row r="822" ht="13.5" customHeight="1">
      <c r="A822" s="182"/>
      <c r="B822" s="205"/>
      <c r="C822" s="205"/>
      <c r="D822" s="205"/>
      <c r="E822" s="205"/>
      <c r="F822" s="205"/>
    </row>
    <row r="823" ht="13.5" customHeight="1">
      <c r="A823" s="182"/>
      <c r="B823" s="205"/>
      <c r="C823" s="205"/>
      <c r="D823" s="205"/>
      <c r="E823" s="205"/>
      <c r="F823" s="205"/>
    </row>
    <row r="824" ht="13.5" customHeight="1">
      <c r="A824" s="182"/>
      <c r="B824" s="205"/>
      <c r="C824" s="205"/>
      <c r="D824" s="205"/>
      <c r="E824" s="205"/>
      <c r="F824" s="205"/>
    </row>
    <row r="825" ht="13.5" customHeight="1">
      <c r="A825" s="182"/>
      <c r="B825" s="205"/>
      <c r="C825" s="205"/>
      <c r="D825" s="205"/>
      <c r="E825" s="205"/>
      <c r="F825" s="205"/>
    </row>
    <row r="826" ht="13.5" customHeight="1">
      <c r="A826" s="182"/>
      <c r="B826" s="205"/>
      <c r="C826" s="205"/>
      <c r="D826" s="205"/>
      <c r="E826" s="205"/>
      <c r="F826" s="205"/>
    </row>
    <row r="827" ht="13.5" customHeight="1">
      <c r="A827" s="182"/>
      <c r="B827" s="205"/>
      <c r="C827" s="205"/>
      <c r="D827" s="205"/>
      <c r="E827" s="205"/>
      <c r="F827" s="205"/>
    </row>
    <row r="828" ht="13.5" customHeight="1">
      <c r="A828" s="182"/>
      <c r="B828" s="205"/>
      <c r="C828" s="205"/>
      <c r="D828" s="205"/>
      <c r="E828" s="205"/>
      <c r="F828" s="205"/>
    </row>
    <row r="829" ht="13.5" customHeight="1">
      <c r="A829" s="182"/>
      <c r="B829" s="205"/>
      <c r="C829" s="205"/>
      <c r="D829" s="205"/>
      <c r="E829" s="205"/>
      <c r="F829" s="205"/>
    </row>
    <row r="830" ht="13.5" customHeight="1">
      <c r="A830" s="182"/>
      <c r="B830" s="205"/>
      <c r="C830" s="205"/>
      <c r="D830" s="205"/>
      <c r="E830" s="205"/>
      <c r="F830" s="205"/>
    </row>
    <row r="831" ht="13.5" customHeight="1">
      <c r="A831" s="182"/>
      <c r="B831" s="205"/>
      <c r="C831" s="205"/>
      <c r="D831" s="205"/>
      <c r="E831" s="205"/>
      <c r="F831" s="205"/>
    </row>
    <row r="832" ht="13.5" customHeight="1">
      <c r="A832" s="182"/>
      <c r="B832" s="205"/>
      <c r="C832" s="205"/>
      <c r="D832" s="205"/>
      <c r="E832" s="205"/>
      <c r="F832" s="205"/>
    </row>
    <row r="833" ht="13.5" customHeight="1">
      <c r="A833" s="182"/>
      <c r="B833" s="205"/>
      <c r="C833" s="205"/>
      <c r="D833" s="205"/>
      <c r="E833" s="205"/>
      <c r="F833" s="205"/>
    </row>
    <row r="834" ht="13.5" customHeight="1">
      <c r="A834" s="182"/>
      <c r="B834" s="205"/>
      <c r="C834" s="205"/>
      <c r="D834" s="205"/>
      <c r="E834" s="205"/>
      <c r="F834" s="205"/>
    </row>
    <row r="835" ht="13.5" customHeight="1">
      <c r="A835" s="182"/>
      <c r="B835" s="205"/>
      <c r="C835" s="205"/>
      <c r="D835" s="205"/>
      <c r="E835" s="205"/>
      <c r="F835" s="205"/>
    </row>
    <row r="836" ht="13.5" customHeight="1">
      <c r="A836" s="182"/>
      <c r="B836" s="205"/>
      <c r="C836" s="205"/>
      <c r="D836" s="205"/>
      <c r="E836" s="205"/>
      <c r="F836" s="205"/>
    </row>
    <row r="837" ht="13.5" customHeight="1">
      <c r="A837" s="182"/>
      <c r="B837" s="205"/>
      <c r="C837" s="205"/>
      <c r="D837" s="205"/>
      <c r="E837" s="205"/>
      <c r="F837" s="205"/>
    </row>
    <row r="838" ht="13.5" customHeight="1">
      <c r="A838" s="182"/>
      <c r="B838" s="205"/>
      <c r="C838" s="205"/>
      <c r="D838" s="205"/>
      <c r="E838" s="205"/>
      <c r="F838" s="205"/>
    </row>
    <row r="839" ht="13.5" customHeight="1">
      <c r="A839" s="182"/>
      <c r="B839" s="205"/>
      <c r="C839" s="205"/>
      <c r="D839" s="205"/>
      <c r="E839" s="205"/>
      <c r="F839" s="205"/>
    </row>
    <row r="840" ht="13.5" customHeight="1">
      <c r="A840" s="182"/>
      <c r="B840" s="205"/>
      <c r="C840" s="205"/>
      <c r="D840" s="205"/>
      <c r="E840" s="205"/>
      <c r="F840" s="205"/>
    </row>
    <row r="841" ht="13.5" customHeight="1">
      <c r="A841" s="182"/>
      <c r="B841" s="205"/>
      <c r="C841" s="205"/>
      <c r="D841" s="205"/>
      <c r="E841" s="205"/>
      <c r="F841" s="205"/>
    </row>
    <row r="842" ht="13.5" customHeight="1">
      <c r="A842" s="182"/>
      <c r="B842" s="205"/>
      <c r="C842" s="205"/>
      <c r="D842" s="205"/>
      <c r="E842" s="205"/>
      <c r="F842" s="205"/>
    </row>
    <row r="843" ht="13.5" customHeight="1">
      <c r="A843" s="182"/>
      <c r="B843" s="205"/>
      <c r="C843" s="205"/>
      <c r="D843" s="205"/>
      <c r="E843" s="205"/>
      <c r="F843" s="205"/>
    </row>
    <row r="844" ht="13.5" customHeight="1">
      <c r="A844" s="182"/>
      <c r="B844" s="205"/>
      <c r="C844" s="205"/>
      <c r="D844" s="205"/>
      <c r="E844" s="205"/>
      <c r="F844" s="205"/>
    </row>
    <row r="845" ht="13.5" customHeight="1">
      <c r="A845" s="182"/>
      <c r="B845" s="205"/>
      <c r="C845" s="205"/>
      <c r="D845" s="205"/>
      <c r="E845" s="205"/>
      <c r="F845" s="205"/>
    </row>
    <row r="846" ht="13.5" customHeight="1">
      <c r="A846" s="182"/>
      <c r="B846" s="205"/>
      <c r="C846" s="205"/>
      <c r="D846" s="205"/>
      <c r="E846" s="205"/>
      <c r="F846" s="205"/>
    </row>
    <row r="847" ht="13.5" customHeight="1">
      <c r="A847" s="182"/>
      <c r="B847" s="205"/>
      <c r="C847" s="205"/>
      <c r="D847" s="205"/>
      <c r="E847" s="205"/>
      <c r="F847" s="205"/>
    </row>
    <row r="848" ht="13.5" customHeight="1">
      <c r="A848" s="182"/>
      <c r="B848" s="205"/>
      <c r="C848" s="205"/>
      <c r="D848" s="205"/>
      <c r="E848" s="205"/>
      <c r="F848" s="205"/>
    </row>
    <row r="849" ht="13.5" customHeight="1">
      <c r="A849" s="182"/>
      <c r="B849" s="205"/>
      <c r="C849" s="205"/>
      <c r="D849" s="205"/>
      <c r="E849" s="205"/>
      <c r="F849" s="205"/>
    </row>
    <row r="850" ht="13.5" customHeight="1">
      <c r="A850" s="182"/>
      <c r="B850" s="205"/>
      <c r="C850" s="205"/>
      <c r="D850" s="205"/>
      <c r="E850" s="205"/>
      <c r="F850" s="205"/>
    </row>
    <row r="851" ht="13.5" customHeight="1">
      <c r="A851" s="182"/>
      <c r="B851" s="205"/>
      <c r="C851" s="205"/>
      <c r="D851" s="205"/>
      <c r="E851" s="205"/>
      <c r="F851" s="205"/>
    </row>
    <row r="852" ht="13.5" customHeight="1">
      <c r="A852" s="182"/>
      <c r="B852" s="205"/>
      <c r="C852" s="205"/>
      <c r="D852" s="205"/>
      <c r="E852" s="205"/>
      <c r="F852" s="205"/>
    </row>
    <row r="853" ht="13.5" customHeight="1">
      <c r="A853" s="182"/>
      <c r="B853" s="205"/>
      <c r="C853" s="205"/>
      <c r="D853" s="205"/>
      <c r="E853" s="205"/>
      <c r="F853" s="205"/>
    </row>
    <row r="854" ht="13.5" customHeight="1">
      <c r="A854" s="182"/>
      <c r="B854" s="205"/>
      <c r="C854" s="205"/>
      <c r="D854" s="205"/>
      <c r="E854" s="205"/>
      <c r="F854" s="205"/>
    </row>
    <row r="855" ht="13.5" customHeight="1">
      <c r="A855" s="182"/>
      <c r="B855" s="205"/>
      <c r="C855" s="205"/>
      <c r="D855" s="205"/>
      <c r="E855" s="205"/>
      <c r="F855" s="205"/>
    </row>
    <row r="856" ht="13.5" customHeight="1">
      <c r="A856" s="182"/>
      <c r="B856" s="205"/>
      <c r="C856" s="205"/>
      <c r="D856" s="205"/>
      <c r="E856" s="205"/>
      <c r="F856" s="205"/>
    </row>
    <row r="857" ht="13.5" customHeight="1">
      <c r="A857" s="182"/>
      <c r="B857" s="205"/>
      <c r="C857" s="205"/>
      <c r="D857" s="205"/>
      <c r="E857" s="205"/>
      <c r="F857" s="205"/>
    </row>
    <row r="858" ht="13.5" customHeight="1">
      <c r="A858" s="182"/>
      <c r="B858" s="205"/>
      <c r="C858" s="205"/>
      <c r="D858" s="205"/>
      <c r="E858" s="205"/>
      <c r="F858" s="205"/>
    </row>
    <row r="859" ht="13.5" customHeight="1">
      <c r="A859" s="182"/>
      <c r="B859" s="205"/>
      <c r="C859" s="205"/>
      <c r="D859" s="205"/>
      <c r="E859" s="205"/>
      <c r="F859" s="205"/>
    </row>
    <row r="860" ht="13.5" customHeight="1">
      <c r="A860" s="182"/>
      <c r="B860" s="205"/>
      <c r="C860" s="205"/>
      <c r="D860" s="205"/>
      <c r="E860" s="205"/>
      <c r="F860" s="205"/>
    </row>
    <row r="861" ht="13.5" customHeight="1">
      <c r="A861" s="182"/>
      <c r="B861" s="205"/>
      <c r="C861" s="205"/>
      <c r="D861" s="205"/>
      <c r="E861" s="205"/>
      <c r="F861" s="205"/>
    </row>
    <row r="862" ht="13.5" customHeight="1">
      <c r="A862" s="182"/>
      <c r="B862" s="205"/>
      <c r="C862" s="205"/>
      <c r="D862" s="205"/>
      <c r="E862" s="205"/>
      <c r="F862" s="205"/>
    </row>
    <row r="863" ht="13.5" customHeight="1">
      <c r="A863" s="182"/>
      <c r="B863" s="205"/>
      <c r="C863" s="205"/>
      <c r="D863" s="205"/>
      <c r="E863" s="205"/>
      <c r="F863" s="205"/>
    </row>
    <row r="864" ht="13.5" customHeight="1">
      <c r="A864" s="182"/>
      <c r="B864" s="205"/>
      <c r="C864" s="205"/>
      <c r="D864" s="205"/>
      <c r="E864" s="205"/>
      <c r="F864" s="205"/>
    </row>
    <row r="865" ht="13.5" customHeight="1">
      <c r="A865" s="182"/>
      <c r="B865" s="205"/>
      <c r="C865" s="205"/>
      <c r="D865" s="205"/>
      <c r="E865" s="205"/>
      <c r="F865" s="205"/>
    </row>
    <row r="866" ht="13.5" customHeight="1">
      <c r="A866" s="182"/>
      <c r="B866" s="205"/>
      <c r="C866" s="205"/>
      <c r="D866" s="205"/>
      <c r="E866" s="205"/>
      <c r="F866" s="205"/>
    </row>
    <row r="867" ht="13.5" customHeight="1">
      <c r="A867" s="182"/>
      <c r="B867" s="205"/>
      <c r="C867" s="205"/>
      <c r="D867" s="205"/>
      <c r="E867" s="205"/>
      <c r="F867" s="205"/>
    </row>
    <row r="868" ht="13.5" customHeight="1">
      <c r="A868" s="182"/>
      <c r="B868" s="205"/>
      <c r="C868" s="205"/>
      <c r="D868" s="205"/>
      <c r="E868" s="205"/>
      <c r="F868" s="205"/>
    </row>
    <row r="869" ht="13.5" customHeight="1">
      <c r="A869" s="182"/>
      <c r="B869" s="205"/>
      <c r="C869" s="205"/>
      <c r="D869" s="205"/>
      <c r="E869" s="205"/>
      <c r="F869" s="205"/>
    </row>
    <row r="870" ht="13.5" customHeight="1">
      <c r="A870" s="182"/>
      <c r="B870" s="205"/>
      <c r="C870" s="205"/>
      <c r="D870" s="205"/>
      <c r="E870" s="205"/>
      <c r="F870" s="205"/>
    </row>
    <row r="871" ht="13.5" customHeight="1">
      <c r="A871" s="182"/>
      <c r="B871" s="205"/>
      <c r="C871" s="205"/>
      <c r="D871" s="205"/>
      <c r="E871" s="205"/>
      <c r="F871" s="205"/>
    </row>
    <row r="872" ht="13.5" customHeight="1">
      <c r="A872" s="182"/>
      <c r="B872" s="205"/>
      <c r="C872" s="205"/>
      <c r="D872" s="205"/>
      <c r="E872" s="205"/>
      <c r="F872" s="205"/>
    </row>
    <row r="873" ht="13.5" customHeight="1">
      <c r="A873" s="182"/>
      <c r="B873" s="205"/>
      <c r="C873" s="205"/>
      <c r="D873" s="205"/>
      <c r="E873" s="205"/>
      <c r="F873" s="205"/>
    </row>
    <row r="874" ht="13.5" customHeight="1">
      <c r="A874" s="182"/>
      <c r="B874" s="205"/>
      <c r="C874" s="205"/>
      <c r="D874" s="205"/>
      <c r="E874" s="205"/>
      <c r="F874" s="205"/>
    </row>
    <row r="875" ht="13.5" customHeight="1">
      <c r="A875" s="182"/>
      <c r="B875" s="205"/>
      <c r="C875" s="205"/>
      <c r="D875" s="205"/>
      <c r="E875" s="205"/>
      <c r="F875" s="205"/>
    </row>
    <row r="876" ht="13.5" customHeight="1">
      <c r="A876" s="182"/>
      <c r="B876" s="205"/>
      <c r="C876" s="205"/>
      <c r="D876" s="205"/>
      <c r="E876" s="205"/>
      <c r="F876" s="205"/>
    </row>
    <row r="877" ht="13.5" customHeight="1">
      <c r="A877" s="182"/>
      <c r="B877" s="205"/>
      <c r="C877" s="205"/>
      <c r="D877" s="205"/>
      <c r="E877" s="205"/>
      <c r="F877" s="205"/>
    </row>
    <row r="878" ht="13.5" customHeight="1">
      <c r="A878" s="182"/>
      <c r="B878" s="205"/>
      <c r="C878" s="205"/>
      <c r="D878" s="205"/>
      <c r="E878" s="205"/>
      <c r="F878" s="205"/>
    </row>
    <row r="879" ht="13.5" customHeight="1">
      <c r="A879" s="182"/>
      <c r="B879" s="205"/>
      <c r="C879" s="205"/>
      <c r="D879" s="205"/>
      <c r="E879" s="205"/>
      <c r="F879" s="205"/>
    </row>
    <row r="880" ht="13.5" customHeight="1">
      <c r="A880" s="182"/>
      <c r="B880" s="205"/>
      <c r="C880" s="205"/>
      <c r="D880" s="205"/>
      <c r="E880" s="205"/>
      <c r="F880" s="205"/>
    </row>
    <row r="881" ht="13.5" customHeight="1">
      <c r="A881" s="182"/>
      <c r="B881" s="205"/>
      <c r="C881" s="205"/>
      <c r="D881" s="205"/>
      <c r="E881" s="205"/>
      <c r="F881" s="205"/>
    </row>
    <row r="882" ht="13.5" customHeight="1">
      <c r="A882" s="182"/>
      <c r="B882" s="205"/>
      <c r="C882" s="205"/>
      <c r="D882" s="205"/>
      <c r="E882" s="205"/>
      <c r="F882" s="205"/>
    </row>
    <row r="883" ht="13.5" customHeight="1">
      <c r="A883" s="182"/>
      <c r="B883" s="205"/>
      <c r="C883" s="205"/>
      <c r="D883" s="205"/>
      <c r="E883" s="205"/>
      <c r="F883" s="205"/>
    </row>
    <row r="884" ht="13.5" customHeight="1">
      <c r="A884" s="182"/>
      <c r="B884" s="205"/>
      <c r="C884" s="205"/>
      <c r="D884" s="205"/>
      <c r="E884" s="205"/>
      <c r="F884" s="205"/>
    </row>
    <row r="885" ht="13.5" customHeight="1">
      <c r="A885" s="182"/>
      <c r="B885" s="205"/>
      <c r="C885" s="205"/>
      <c r="D885" s="205"/>
      <c r="E885" s="205"/>
      <c r="F885" s="205"/>
    </row>
    <row r="886" ht="13.5" customHeight="1">
      <c r="A886" s="182"/>
      <c r="B886" s="205"/>
      <c r="C886" s="205"/>
      <c r="D886" s="205"/>
      <c r="E886" s="205"/>
      <c r="F886" s="205"/>
    </row>
    <row r="887" ht="13.5" customHeight="1">
      <c r="A887" s="182"/>
      <c r="B887" s="205"/>
      <c r="C887" s="205"/>
      <c r="D887" s="205"/>
      <c r="E887" s="205"/>
      <c r="F887" s="205"/>
    </row>
    <row r="888" ht="13.5" customHeight="1">
      <c r="A888" s="182"/>
      <c r="B888" s="205"/>
      <c r="C888" s="205"/>
      <c r="D888" s="205"/>
      <c r="E888" s="205"/>
      <c r="F888" s="205"/>
    </row>
    <row r="889" ht="13.5" customHeight="1">
      <c r="A889" s="182"/>
      <c r="B889" s="205"/>
      <c r="C889" s="205"/>
      <c r="D889" s="205"/>
      <c r="E889" s="205"/>
      <c r="F889" s="205"/>
    </row>
    <row r="890" ht="13.5" customHeight="1">
      <c r="A890" s="182"/>
      <c r="B890" s="205"/>
      <c r="C890" s="205"/>
      <c r="D890" s="205"/>
      <c r="E890" s="205"/>
      <c r="F890" s="205"/>
    </row>
    <row r="891" ht="13.5" customHeight="1">
      <c r="A891" s="182"/>
      <c r="B891" s="205"/>
      <c r="C891" s="205"/>
      <c r="D891" s="205"/>
      <c r="E891" s="205"/>
      <c r="F891" s="205"/>
    </row>
    <row r="892" ht="13.5" customHeight="1">
      <c r="A892" s="182"/>
      <c r="B892" s="205"/>
      <c r="C892" s="205"/>
      <c r="D892" s="205"/>
      <c r="E892" s="205"/>
      <c r="F892" s="205"/>
    </row>
    <row r="893" ht="13.5" customHeight="1">
      <c r="A893" s="182"/>
      <c r="B893" s="205"/>
      <c r="C893" s="205"/>
      <c r="D893" s="205"/>
      <c r="E893" s="205"/>
      <c r="F893" s="205"/>
    </row>
    <row r="894" ht="13.5" customHeight="1">
      <c r="A894" s="182"/>
      <c r="B894" s="205"/>
      <c r="C894" s="205"/>
      <c r="D894" s="205"/>
      <c r="E894" s="205"/>
      <c r="F894" s="205"/>
    </row>
    <row r="895" ht="13.5" customHeight="1">
      <c r="A895" s="182"/>
      <c r="B895" s="205"/>
      <c r="C895" s="205"/>
      <c r="D895" s="205"/>
      <c r="E895" s="205"/>
      <c r="F895" s="205"/>
    </row>
    <row r="896" ht="13.5" customHeight="1">
      <c r="A896" s="182"/>
      <c r="B896" s="205"/>
      <c r="C896" s="205"/>
      <c r="D896" s="205"/>
      <c r="E896" s="205"/>
      <c r="F896" s="205"/>
    </row>
    <row r="897" ht="13.5" customHeight="1">
      <c r="A897" s="182"/>
      <c r="B897" s="205"/>
      <c r="C897" s="205"/>
      <c r="D897" s="205"/>
      <c r="E897" s="205"/>
      <c r="F897" s="205"/>
    </row>
    <row r="898" ht="13.5" customHeight="1">
      <c r="A898" s="182"/>
      <c r="B898" s="205"/>
      <c r="C898" s="205"/>
      <c r="D898" s="205"/>
      <c r="E898" s="205"/>
      <c r="F898" s="205"/>
    </row>
    <row r="899" ht="13.5" customHeight="1">
      <c r="A899" s="182"/>
      <c r="B899" s="205"/>
      <c r="C899" s="205"/>
      <c r="D899" s="205"/>
      <c r="E899" s="205"/>
      <c r="F899" s="205"/>
    </row>
    <row r="900" ht="13.5" customHeight="1">
      <c r="A900" s="182"/>
      <c r="B900" s="205"/>
      <c r="C900" s="205"/>
      <c r="D900" s="205"/>
      <c r="E900" s="205"/>
      <c r="F900" s="205"/>
    </row>
    <row r="901" ht="13.5" customHeight="1">
      <c r="A901" s="182"/>
      <c r="B901" s="205"/>
      <c r="C901" s="205"/>
      <c r="D901" s="205"/>
      <c r="E901" s="205"/>
      <c r="F901" s="205"/>
    </row>
    <row r="902" ht="13.5" customHeight="1">
      <c r="A902" s="182"/>
      <c r="B902" s="205"/>
      <c r="C902" s="205"/>
      <c r="D902" s="205"/>
      <c r="E902" s="205"/>
      <c r="F902" s="205"/>
    </row>
    <row r="903" ht="13.5" customHeight="1">
      <c r="A903" s="182"/>
      <c r="B903" s="205"/>
      <c r="C903" s="205"/>
      <c r="D903" s="205"/>
      <c r="E903" s="205"/>
      <c r="F903" s="205"/>
    </row>
    <row r="904" ht="13.5" customHeight="1">
      <c r="A904" s="182"/>
      <c r="B904" s="205"/>
      <c r="C904" s="205"/>
      <c r="D904" s="205"/>
      <c r="E904" s="205"/>
      <c r="F904" s="205"/>
    </row>
    <row r="905" ht="13.5" customHeight="1">
      <c r="A905" s="182"/>
      <c r="B905" s="205"/>
      <c r="C905" s="205"/>
      <c r="D905" s="205"/>
      <c r="E905" s="205"/>
      <c r="F905" s="205"/>
    </row>
    <row r="906" ht="13.5" customHeight="1">
      <c r="A906" s="182"/>
      <c r="B906" s="205"/>
      <c r="C906" s="205"/>
      <c r="D906" s="205"/>
      <c r="E906" s="205"/>
      <c r="F906" s="205"/>
    </row>
    <row r="907" ht="13.5" customHeight="1">
      <c r="A907" s="182"/>
      <c r="B907" s="205"/>
      <c r="C907" s="205"/>
      <c r="D907" s="205"/>
      <c r="E907" s="205"/>
      <c r="F907" s="205"/>
    </row>
    <row r="908" ht="13.5" customHeight="1">
      <c r="A908" s="182"/>
      <c r="B908" s="205"/>
      <c r="C908" s="205"/>
      <c r="D908" s="205"/>
      <c r="E908" s="205"/>
      <c r="F908" s="205"/>
    </row>
    <row r="909" ht="13.5" customHeight="1">
      <c r="A909" s="182"/>
      <c r="B909" s="205"/>
      <c r="C909" s="205"/>
      <c r="D909" s="205"/>
      <c r="E909" s="205"/>
      <c r="F909" s="205"/>
    </row>
    <row r="910" ht="13.5" customHeight="1">
      <c r="A910" s="182"/>
      <c r="B910" s="205"/>
      <c r="C910" s="205"/>
      <c r="D910" s="205"/>
      <c r="E910" s="205"/>
      <c r="F910" s="205"/>
    </row>
    <row r="911" ht="13.5" customHeight="1">
      <c r="A911" s="182"/>
      <c r="B911" s="205"/>
      <c r="C911" s="205"/>
      <c r="D911" s="205"/>
      <c r="E911" s="205"/>
      <c r="F911" s="205"/>
    </row>
    <row r="912" ht="13.5" customHeight="1">
      <c r="A912" s="182"/>
      <c r="B912" s="205"/>
      <c r="C912" s="205"/>
      <c r="D912" s="205"/>
      <c r="E912" s="205"/>
      <c r="F912" s="205"/>
    </row>
    <row r="913" ht="13.5" customHeight="1">
      <c r="A913" s="182"/>
      <c r="B913" s="205"/>
      <c r="C913" s="205"/>
      <c r="D913" s="205"/>
      <c r="E913" s="205"/>
      <c r="F913" s="205"/>
    </row>
    <row r="914" ht="13.5" customHeight="1">
      <c r="A914" s="182"/>
      <c r="B914" s="205"/>
      <c r="C914" s="205"/>
      <c r="D914" s="205"/>
      <c r="E914" s="205"/>
      <c r="F914" s="205"/>
    </row>
    <row r="915" ht="13.5" customHeight="1">
      <c r="A915" s="182"/>
      <c r="B915" s="205"/>
      <c r="C915" s="205"/>
      <c r="D915" s="205"/>
      <c r="E915" s="205"/>
      <c r="F915" s="205"/>
    </row>
    <row r="916" ht="13.5" customHeight="1">
      <c r="A916" s="182"/>
      <c r="B916" s="205"/>
      <c r="C916" s="205"/>
      <c r="D916" s="205"/>
      <c r="E916" s="205"/>
      <c r="F916" s="205"/>
    </row>
    <row r="917" ht="13.5" customHeight="1">
      <c r="A917" s="182"/>
      <c r="B917" s="205"/>
      <c r="C917" s="205"/>
      <c r="D917" s="205"/>
      <c r="E917" s="205"/>
      <c r="F917" s="205"/>
    </row>
    <row r="918" ht="13.5" customHeight="1">
      <c r="A918" s="182"/>
      <c r="B918" s="205"/>
      <c r="C918" s="205"/>
      <c r="D918" s="205"/>
      <c r="E918" s="205"/>
      <c r="F918" s="205"/>
    </row>
    <row r="919" ht="13.5" customHeight="1">
      <c r="A919" s="182"/>
      <c r="B919" s="205"/>
      <c r="C919" s="205"/>
      <c r="D919" s="205"/>
      <c r="E919" s="205"/>
      <c r="F919" s="205"/>
    </row>
    <row r="920" ht="13.5" customHeight="1">
      <c r="A920" s="182"/>
      <c r="B920" s="205"/>
      <c r="C920" s="205"/>
      <c r="D920" s="205"/>
      <c r="E920" s="205"/>
      <c r="F920" s="205"/>
    </row>
    <row r="921" ht="13.5" customHeight="1">
      <c r="A921" s="182"/>
      <c r="B921" s="205"/>
      <c r="C921" s="205"/>
      <c r="D921" s="205"/>
      <c r="E921" s="205"/>
      <c r="F921" s="205"/>
    </row>
    <row r="922" ht="13.5" customHeight="1">
      <c r="A922" s="182"/>
      <c r="B922" s="205"/>
      <c r="C922" s="205"/>
      <c r="D922" s="205"/>
      <c r="E922" s="205"/>
      <c r="F922" s="205"/>
    </row>
    <row r="923" ht="13.5" customHeight="1">
      <c r="A923" s="182"/>
      <c r="B923" s="205"/>
      <c r="C923" s="205"/>
      <c r="D923" s="205"/>
      <c r="E923" s="205"/>
      <c r="F923" s="205"/>
    </row>
    <row r="924" ht="13.5" customHeight="1">
      <c r="A924" s="182"/>
      <c r="B924" s="205"/>
      <c r="C924" s="205"/>
      <c r="D924" s="205"/>
      <c r="E924" s="205"/>
      <c r="F924" s="205"/>
    </row>
    <row r="925" ht="13.5" customHeight="1">
      <c r="A925" s="182"/>
      <c r="B925" s="205"/>
      <c r="C925" s="205"/>
      <c r="D925" s="205"/>
      <c r="E925" s="205"/>
      <c r="F925" s="205"/>
    </row>
    <row r="926" ht="13.5" customHeight="1">
      <c r="A926" s="182"/>
      <c r="B926" s="205"/>
      <c r="C926" s="205"/>
      <c r="D926" s="205"/>
      <c r="E926" s="205"/>
      <c r="F926" s="205"/>
    </row>
    <row r="927" ht="13.5" customHeight="1">
      <c r="A927" s="182"/>
      <c r="B927" s="205"/>
      <c r="C927" s="205"/>
      <c r="D927" s="205"/>
      <c r="E927" s="205"/>
      <c r="F927" s="205"/>
    </row>
    <row r="928" ht="13.5" customHeight="1">
      <c r="A928" s="182"/>
      <c r="B928" s="205"/>
      <c r="C928" s="205"/>
      <c r="D928" s="205"/>
      <c r="E928" s="205"/>
      <c r="F928" s="205"/>
    </row>
    <row r="929" ht="13.5" customHeight="1">
      <c r="A929" s="182"/>
      <c r="B929" s="205"/>
      <c r="C929" s="205"/>
      <c r="D929" s="205"/>
      <c r="E929" s="205"/>
      <c r="F929" s="205"/>
    </row>
    <row r="930" ht="13.5" customHeight="1">
      <c r="A930" s="182"/>
      <c r="B930" s="205"/>
      <c r="C930" s="205"/>
      <c r="D930" s="205"/>
      <c r="E930" s="205"/>
      <c r="F930" s="205"/>
    </row>
    <row r="931" ht="13.5" customHeight="1">
      <c r="A931" s="182"/>
      <c r="B931" s="205"/>
      <c r="C931" s="205"/>
      <c r="D931" s="205"/>
      <c r="E931" s="205"/>
      <c r="F931" s="205"/>
    </row>
    <row r="932" ht="13.5" customHeight="1">
      <c r="A932" s="182"/>
      <c r="B932" s="205"/>
      <c r="C932" s="205"/>
      <c r="D932" s="205"/>
      <c r="E932" s="205"/>
      <c r="F932" s="205"/>
    </row>
    <row r="933" ht="13.5" customHeight="1">
      <c r="A933" s="182"/>
      <c r="B933" s="205"/>
      <c r="C933" s="205"/>
      <c r="D933" s="205"/>
      <c r="E933" s="205"/>
      <c r="F933" s="205"/>
    </row>
    <row r="934" ht="13.5" customHeight="1">
      <c r="A934" s="182"/>
      <c r="B934" s="205"/>
      <c r="C934" s="205"/>
      <c r="D934" s="205"/>
      <c r="E934" s="205"/>
      <c r="F934" s="205"/>
    </row>
    <row r="935" ht="13.5" customHeight="1">
      <c r="A935" s="182"/>
      <c r="B935" s="205"/>
      <c r="C935" s="205"/>
      <c r="D935" s="205"/>
      <c r="E935" s="205"/>
      <c r="F935" s="205"/>
    </row>
    <row r="936" ht="13.5" customHeight="1">
      <c r="A936" s="182"/>
      <c r="B936" s="205"/>
      <c r="C936" s="205"/>
      <c r="D936" s="205"/>
      <c r="E936" s="205"/>
      <c r="F936" s="205"/>
    </row>
    <row r="937" ht="13.5" customHeight="1">
      <c r="A937" s="182"/>
      <c r="B937" s="205"/>
      <c r="C937" s="205"/>
      <c r="D937" s="205"/>
      <c r="E937" s="205"/>
      <c r="F937" s="205"/>
    </row>
    <row r="938" ht="13.5" customHeight="1">
      <c r="A938" s="182"/>
      <c r="B938" s="205"/>
      <c r="C938" s="205"/>
      <c r="D938" s="205"/>
      <c r="E938" s="205"/>
      <c r="F938" s="205"/>
    </row>
    <row r="939" ht="13.5" customHeight="1">
      <c r="A939" s="182"/>
      <c r="B939" s="205"/>
      <c r="C939" s="205"/>
      <c r="D939" s="205"/>
      <c r="E939" s="205"/>
      <c r="F939" s="205"/>
    </row>
    <row r="940" ht="13.5" customHeight="1">
      <c r="A940" s="182"/>
      <c r="B940" s="205"/>
      <c r="C940" s="205"/>
      <c r="D940" s="205"/>
      <c r="E940" s="205"/>
      <c r="F940" s="205"/>
    </row>
    <row r="941" ht="13.5" customHeight="1">
      <c r="A941" s="182"/>
      <c r="B941" s="205"/>
      <c r="C941" s="205"/>
      <c r="D941" s="205"/>
      <c r="E941" s="205"/>
      <c r="F941" s="205"/>
    </row>
    <row r="942" ht="13.5" customHeight="1">
      <c r="A942" s="182"/>
      <c r="B942" s="205"/>
      <c r="C942" s="205"/>
      <c r="D942" s="205"/>
      <c r="E942" s="205"/>
      <c r="F942" s="205"/>
    </row>
    <row r="943" ht="13.5" customHeight="1">
      <c r="A943" s="182"/>
      <c r="B943" s="205"/>
      <c r="C943" s="205"/>
      <c r="D943" s="205"/>
      <c r="E943" s="205"/>
      <c r="F943" s="205"/>
    </row>
    <row r="944" ht="13.5" customHeight="1">
      <c r="A944" s="182"/>
      <c r="B944" s="205"/>
      <c r="C944" s="205"/>
      <c r="D944" s="205"/>
      <c r="E944" s="205"/>
      <c r="F944" s="205"/>
    </row>
    <row r="945" ht="13.5" customHeight="1">
      <c r="A945" s="182"/>
      <c r="B945" s="205"/>
      <c r="C945" s="205"/>
      <c r="D945" s="205"/>
      <c r="E945" s="205"/>
      <c r="F945" s="205"/>
    </row>
    <row r="946" ht="13.5" customHeight="1">
      <c r="A946" s="182"/>
      <c r="B946" s="205"/>
      <c r="C946" s="205"/>
      <c r="D946" s="205"/>
      <c r="E946" s="205"/>
      <c r="F946" s="205"/>
    </row>
    <row r="947" ht="13.5" customHeight="1">
      <c r="A947" s="182"/>
      <c r="B947" s="205"/>
      <c r="C947" s="205"/>
      <c r="D947" s="205"/>
      <c r="E947" s="205"/>
      <c r="F947" s="205"/>
    </row>
    <row r="948" ht="13.5" customHeight="1">
      <c r="A948" s="182"/>
      <c r="B948" s="205"/>
      <c r="C948" s="205"/>
      <c r="D948" s="205"/>
      <c r="E948" s="205"/>
      <c r="F948" s="205"/>
    </row>
    <row r="949" ht="13.5" customHeight="1">
      <c r="A949" s="182"/>
      <c r="B949" s="205"/>
      <c r="C949" s="205"/>
      <c r="D949" s="205"/>
      <c r="E949" s="205"/>
      <c r="F949" s="205"/>
    </row>
    <row r="950" ht="13.5" customHeight="1">
      <c r="A950" s="182"/>
      <c r="B950" s="205"/>
      <c r="C950" s="205"/>
      <c r="D950" s="205"/>
      <c r="E950" s="205"/>
      <c r="F950" s="205"/>
    </row>
    <row r="951" ht="13.5" customHeight="1">
      <c r="A951" s="182"/>
      <c r="B951" s="205"/>
      <c r="C951" s="205"/>
      <c r="D951" s="205"/>
      <c r="E951" s="205"/>
      <c r="F951" s="205"/>
    </row>
    <row r="952" ht="13.5" customHeight="1">
      <c r="A952" s="182"/>
      <c r="B952" s="205"/>
      <c r="C952" s="205"/>
      <c r="D952" s="205"/>
      <c r="E952" s="205"/>
      <c r="F952" s="205"/>
    </row>
    <row r="953" ht="13.5" customHeight="1">
      <c r="A953" s="182"/>
      <c r="B953" s="205"/>
      <c r="C953" s="205"/>
      <c r="D953" s="205"/>
      <c r="E953" s="205"/>
      <c r="F953" s="205"/>
    </row>
    <row r="954" ht="13.5" customHeight="1">
      <c r="A954" s="182"/>
      <c r="B954" s="205"/>
      <c r="C954" s="205"/>
      <c r="D954" s="205"/>
      <c r="E954" s="205"/>
      <c r="F954" s="205"/>
    </row>
    <row r="955" ht="13.5" customHeight="1">
      <c r="A955" s="182"/>
      <c r="B955" s="205"/>
      <c r="C955" s="205"/>
      <c r="D955" s="205"/>
      <c r="E955" s="205"/>
      <c r="F955" s="205"/>
    </row>
    <row r="956" ht="13.5" customHeight="1">
      <c r="A956" s="182"/>
      <c r="B956" s="205"/>
      <c r="C956" s="205"/>
      <c r="D956" s="205"/>
      <c r="E956" s="205"/>
      <c r="F956" s="205"/>
    </row>
    <row r="957" ht="13.5" customHeight="1">
      <c r="A957" s="182"/>
      <c r="B957" s="205"/>
      <c r="C957" s="205"/>
      <c r="D957" s="205"/>
      <c r="E957" s="205"/>
      <c r="F957" s="205"/>
    </row>
    <row r="958" ht="13.5" customHeight="1">
      <c r="A958" s="182"/>
      <c r="B958" s="205"/>
      <c r="C958" s="205"/>
      <c r="D958" s="205"/>
      <c r="E958" s="205"/>
      <c r="F958" s="205"/>
    </row>
    <row r="959" ht="13.5" customHeight="1">
      <c r="A959" s="182"/>
      <c r="B959" s="205"/>
      <c r="C959" s="205"/>
      <c r="D959" s="205"/>
      <c r="E959" s="205"/>
      <c r="F959" s="205"/>
    </row>
    <row r="960" ht="13.5" customHeight="1">
      <c r="A960" s="182"/>
      <c r="B960" s="205"/>
      <c r="C960" s="205"/>
      <c r="D960" s="205"/>
      <c r="E960" s="205"/>
      <c r="F960" s="205"/>
    </row>
    <row r="961" ht="13.5" customHeight="1">
      <c r="A961" s="182"/>
      <c r="B961" s="205"/>
      <c r="C961" s="205"/>
      <c r="D961" s="205"/>
      <c r="E961" s="205"/>
      <c r="F961" s="205"/>
    </row>
    <row r="962" ht="13.5" customHeight="1">
      <c r="A962" s="182"/>
      <c r="B962" s="205"/>
      <c r="C962" s="205"/>
      <c r="D962" s="205"/>
      <c r="E962" s="205"/>
      <c r="F962" s="205"/>
    </row>
    <row r="963" ht="13.5" customHeight="1">
      <c r="A963" s="182"/>
      <c r="B963" s="205"/>
      <c r="C963" s="205"/>
      <c r="D963" s="205"/>
      <c r="E963" s="205"/>
      <c r="F963" s="205"/>
    </row>
    <row r="964" ht="13.5" customHeight="1">
      <c r="A964" s="182"/>
      <c r="B964" s="205"/>
      <c r="C964" s="205"/>
      <c r="D964" s="205"/>
      <c r="E964" s="205"/>
      <c r="F964" s="205"/>
    </row>
    <row r="965" ht="13.5" customHeight="1">
      <c r="A965" s="182"/>
      <c r="B965" s="205"/>
      <c r="C965" s="205"/>
      <c r="D965" s="205"/>
      <c r="E965" s="205"/>
      <c r="F965" s="205"/>
    </row>
    <row r="966" ht="13.5" customHeight="1">
      <c r="A966" s="182"/>
      <c r="B966" s="205"/>
      <c r="C966" s="205"/>
      <c r="D966" s="205"/>
      <c r="E966" s="205"/>
      <c r="F966" s="205"/>
    </row>
    <row r="967" ht="13.5" customHeight="1">
      <c r="A967" s="182"/>
      <c r="B967" s="205"/>
      <c r="C967" s="205"/>
      <c r="D967" s="205"/>
      <c r="E967" s="205"/>
      <c r="F967" s="205"/>
    </row>
    <row r="968" ht="13.5" customHeight="1">
      <c r="A968" s="182"/>
      <c r="B968" s="205"/>
      <c r="C968" s="205"/>
      <c r="D968" s="205"/>
      <c r="E968" s="205"/>
      <c r="F968" s="205"/>
    </row>
    <row r="969" ht="13.5" customHeight="1">
      <c r="A969" s="182"/>
      <c r="B969" s="205"/>
      <c r="C969" s="205"/>
      <c r="D969" s="205"/>
      <c r="E969" s="205"/>
      <c r="F969" s="205"/>
    </row>
    <row r="970" ht="13.5" customHeight="1">
      <c r="A970" s="182"/>
      <c r="B970" s="205"/>
      <c r="C970" s="205"/>
      <c r="D970" s="205"/>
      <c r="E970" s="205"/>
      <c r="F970" s="205"/>
    </row>
    <row r="971" ht="13.5" customHeight="1">
      <c r="A971" s="182"/>
      <c r="B971" s="205"/>
      <c r="C971" s="205"/>
      <c r="D971" s="205"/>
      <c r="E971" s="205"/>
      <c r="F971" s="205"/>
    </row>
    <row r="972" ht="13.5" customHeight="1">
      <c r="A972" s="182"/>
      <c r="B972" s="205"/>
      <c r="C972" s="205"/>
      <c r="D972" s="205"/>
      <c r="E972" s="205"/>
      <c r="F972" s="205"/>
    </row>
    <row r="973" ht="13.5" customHeight="1">
      <c r="A973" s="182"/>
      <c r="B973" s="205"/>
      <c r="C973" s="205"/>
      <c r="D973" s="205"/>
      <c r="E973" s="205"/>
      <c r="F973" s="205"/>
    </row>
    <row r="974" ht="13.5" customHeight="1">
      <c r="A974" s="182"/>
      <c r="B974" s="205"/>
      <c r="C974" s="205"/>
      <c r="D974" s="205"/>
      <c r="E974" s="205"/>
      <c r="F974" s="205"/>
    </row>
    <row r="975" ht="13.5" customHeight="1">
      <c r="A975" s="182"/>
      <c r="B975" s="205"/>
      <c r="C975" s="205"/>
      <c r="D975" s="205"/>
      <c r="E975" s="205"/>
      <c r="F975" s="205"/>
    </row>
    <row r="976" ht="13.5" customHeight="1">
      <c r="A976" s="182"/>
      <c r="B976" s="205"/>
      <c r="C976" s="205"/>
      <c r="D976" s="205"/>
      <c r="E976" s="205"/>
      <c r="F976" s="205"/>
    </row>
    <row r="977" ht="13.5" customHeight="1">
      <c r="A977" s="182"/>
      <c r="B977" s="205"/>
      <c r="C977" s="205"/>
      <c r="D977" s="205"/>
      <c r="E977" s="205"/>
      <c r="F977" s="205"/>
    </row>
    <row r="978" ht="13.5" customHeight="1">
      <c r="A978" s="182"/>
      <c r="B978" s="205"/>
      <c r="C978" s="205"/>
      <c r="D978" s="205"/>
      <c r="E978" s="205"/>
      <c r="F978" s="205"/>
    </row>
    <row r="979" ht="13.5" customHeight="1">
      <c r="A979" s="182"/>
      <c r="B979" s="205"/>
      <c r="C979" s="205"/>
      <c r="D979" s="205"/>
      <c r="E979" s="205"/>
      <c r="F979" s="205"/>
    </row>
    <row r="980" ht="13.5" customHeight="1">
      <c r="A980" s="182"/>
      <c r="B980" s="205"/>
      <c r="C980" s="205"/>
      <c r="D980" s="205"/>
      <c r="E980" s="205"/>
      <c r="F980" s="205"/>
    </row>
    <row r="981" ht="13.5" customHeight="1">
      <c r="A981" s="182"/>
      <c r="B981" s="205"/>
      <c r="C981" s="205"/>
      <c r="D981" s="205"/>
      <c r="E981" s="205"/>
      <c r="F981" s="205"/>
    </row>
    <row r="982" ht="13.5" customHeight="1">
      <c r="A982" s="182"/>
      <c r="B982" s="205"/>
      <c r="C982" s="205"/>
      <c r="D982" s="205"/>
      <c r="E982" s="205"/>
      <c r="F982" s="205"/>
    </row>
    <row r="983" ht="13.5" customHeight="1">
      <c r="A983" s="182"/>
      <c r="B983" s="205"/>
      <c r="C983" s="205"/>
      <c r="D983" s="205"/>
      <c r="E983" s="205"/>
      <c r="F983" s="205"/>
    </row>
    <row r="984" ht="13.5" customHeight="1">
      <c r="A984" s="182"/>
      <c r="B984" s="205"/>
      <c r="C984" s="205"/>
      <c r="D984" s="205"/>
      <c r="E984" s="205"/>
      <c r="F984" s="205"/>
    </row>
    <row r="985" ht="13.5" customHeight="1">
      <c r="A985" s="182"/>
      <c r="B985" s="205"/>
      <c r="C985" s="205"/>
      <c r="D985" s="205"/>
      <c r="E985" s="205"/>
      <c r="F985" s="205"/>
    </row>
    <row r="986" ht="13.5" customHeight="1">
      <c r="A986" s="182"/>
      <c r="B986" s="205"/>
      <c r="C986" s="205"/>
      <c r="D986" s="205"/>
      <c r="E986" s="205"/>
      <c r="F986" s="205"/>
    </row>
    <row r="987" ht="13.5" customHeight="1">
      <c r="A987" s="182"/>
      <c r="B987" s="205"/>
      <c r="C987" s="205"/>
      <c r="D987" s="205"/>
      <c r="E987" s="205"/>
      <c r="F987" s="205"/>
    </row>
    <row r="988" ht="13.5" customHeight="1">
      <c r="A988" s="182"/>
      <c r="B988" s="205"/>
      <c r="C988" s="205"/>
      <c r="D988" s="205"/>
      <c r="E988" s="205"/>
      <c r="F988" s="205"/>
    </row>
    <row r="989" ht="13.5" customHeight="1">
      <c r="A989" s="182"/>
      <c r="B989" s="205"/>
      <c r="C989" s="205"/>
      <c r="D989" s="205"/>
      <c r="E989" s="205"/>
      <c r="F989" s="205"/>
    </row>
    <row r="990" ht="13.5" customHeight="1">
      <c r="A990" s="182"/>
      <c r="B990" s="205"/>
      <c r="C990" s="205"/>
      <c r="D990" s="205"/>
      <c r="E990" s="205"/>
      <c r="F990" s="205"/>
    </row>
    <row r="991" ht="13.5" customHeight="1">
      <c r="A991" s="182"/>
      <c r="B991" s="205"/>
      <c r="C991" s="205"/>
      <c r="D991" s="205"/>
      <c r="E991" s="205"/>
      <c r="F991" s="205"/>
    </row>
    <row r="992" ht="13.5" customHeight="1">
      <c r="A992" s="182"/>
      <c r="B992" s="205"/>
      <c r="C992" s="205"/>
      <c r="D992" s="205"/>
      <c r="E992" s="205"/>
      <c r="F992" s="205"/>
    </row>
    <row r="993" ht="13.5" customHeight="1">
      <c r="A993" s="182"/>
      <c r="B993" s="205"/>
      <c r="C993" s="205"/>
      <c r="D993" s="205"/>
      <c r="E993" s="205"/>
      <c r="F993" s="205"/>
    </row>
    <row r="994" ht="13.5" customHeight="1">
      <c r="A994" s="182"/>
      <c r="B994" s="205"/>
      <c r="C994" s="205"/>
      <c r="D994" s="205"/>
      <c r="E994" s="205"/>
      <c r="F994" s="205"/>
    </row>
    <row r="995" ht="13.5" customHeight="1">
      <c r="A995" s="182"/>
      <c r="B995" s="205"/>
      <c r="C995" s="205"/>
      <c r="D995" s="205"/>
      <c r="E995" s="205"/>
      <c r="F995" s="205"/>
    </row>
    <row r="996" ht="13.5" customHeight="1">
      <c r="A996" s="182"/>
      <c r="B996" s="205"/>
      <c r="C996" s="205"/>
      <c r="D996" s="205"/>
      <c r="E996" s="205"/>
      <c r="F996" s="205"/>
    </row>
    <row r="997" ht="13.5" customHeight="1">
      <c r="A997" s="182"/>
      <c r="B997" s="205"/>
      <c r="C997" s="205"/>
      <c r="D997" s="205"/>
      <c r="E997" s="205"/>
      <c r="F997" s="205"/>
    </row>
    <row r="998" ht="13.5" customHeight="1">
      <c r="A998" s="182"/>
      <c r="B998" s="205"/>
      <c r="C998" s="205"/>
      <c r="D998" s="205"/>
      <c r="E998" s="205"/>
      <c r="F998" s="205"/>
    </row>
    <row r="999" ht="13.5" customHeight="1">
      <c r="A999" s="182"/>
      <c r="B999" s="205"/>
      <c r="C999" s="205"/>
      <c r="D999" s="205"/>
      <c r="E999" s="205"/>
      <c r="F999" s="205"/>
    </row>
    <row r="1000" ht="13.5" customHeight="1">
      <c r="A1000" s="182"/>
      <c r="B1000" s="205"/>
      <c r="C1000" s="205"/>
      <c r="D1000" s="205"/>
      <c r="E1000" s="205"/>
      <c r="F1000" s="205"/>
    </row>
  </sheetData>
  <printOptions/>
  <pageMargins bottom="0.75" footer="0.0" header="0.0" left="0.7" right="0.7" top="0.75"/>
  <pageSetup paperSize="9" orientation="portrait"/>
  <drawing r:id="rId2"/>
  <legacy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63"/>
    <col customWidth="1" min="2" max="6" width="7.88"/>
    <col customWidth="1" min="7" max="26" width="7.63"/>
  </cols>
  <sheetData>
    <row r="1" ht="13.5" customHeight="1">
      <c r="A1" s="172"/>
      <c r="B1" s="173" t="s">
        <v>63</v>
      </c>
      <c r="C1" s="173" t="s">
        <v>64</v>
      </c>
      <c r="D1" s="173" t="s">
        <v>24</v>
      </c>
      <c r="E1" s="173" t="s">
        <v>121</v>
      </c>
      <c r="F1" s="173" t="s">
        <v>399</v>
      </c>
    </row>
    <row r="2" ht="13.5" customHeight="1">
      <c r="A2" s="203">
        <v>43370.0</v>
      </c>
      <c r="B2" s="177">
        <v>999.9</v>
      </c>
      <c r="C2" s="177">
        <f>2999.9+199.9</f>
        <v>3199.8</v>
      </c>
      <c r="D2" s="177"/>
      <c r="E2" s="177"/>
      <c r="F2" s="177">
        <f t="shared" ref="F2:F6" si="1">SUM(B2:E2)</f>
        <v>4199.7</v>
      </c>
    </row>
    <row r="3" ht="13.5" customHeight="1">
      <c r="A3" s="203">
        <v>43371.0</v>
      </c>
      <c r="B3" s="177">
        <f>99.9+499.9+651</f>
        <v>1250.8</v>
      </c>
      <c r="C3" s="177"/>
      <c r="D3" s="177">
        <v>199.0</v>
      </c>
      <c r="E3" s="177">
        <v>700.0</v>
      </c>
      <c r="F3" s="177">
        <f t="shared" si="1"/>
        <v>2149.8</v>
      </c>
    </row>
    <row r="4" ht="13.5" customHeight="1">
      <c r="A4" s="203">
        <v>43372.0</v>
      </c>
      <c r="B4" s="177">
        <f t="shared" ref="B4:B5" si="2">99.9+499.9+499.9</f>
        <v>1099.7</v>
      </c>
      <c r="C4" s="177">
        <v>2000.0</v>
      </c>
      <c r="D4" s="177">
        <f>939+291</f>
        <v>1230</v>
      </c>
      <c r="E4" s="177"/>
      <c r="F4" s="177">
        <f t="shared" si="1"/>
        <v>4329.7</v>
      </c>
    </row>
    <row r="5" ht="13.5" customHeight="1">
      <c r="A5" s="203">
        <v>43373.0</v>
      </c>
      <c r="B5" s="177">
        <f t="shared" si="2"/>
        <v>1099.7</v>
      </c>
      <c r="C5" s="177"/>
      <c r="D5" s="177"/>
      <c r="E5" s="177">
        <f>4190+4000+5170</f>
        <v>13360</v>
      </c>
      <c r="F5" s="177">
        <f t="shared" si="1"/>
        <v>14459.7</v>
      </c>
    </row>
    <row r="6" ht="13.5" customHeight="1">
      <c r="A6" s="182" t="s">
        <v>399</v>
      </c>
      <c r="B6" s="177">
        <f t="shared" ref="B6:E6" si="3">SUM(B2:B5)</f>
        <v>4450.1</v>
      </c>
      <c r="C6" s="177">
        <f t="shared" si="3"/>
        <v>5199.8</v>
      </c>
      <c r="D6" s="177">
        <f t="shared" si="3"/>
        <v>1429</v>
      </c>
      <c r="E6" s="177">
        <f t="shared" si="3"/>
        <v>14060</v>
      </c>
      <c r="F6" s="177">
        <f t="shared" si="1"/>
        <v>25138.9</v>
      </c>
    </row>
    <row r="7" ht="13.5" customHeight="1">
      <c r="A7" s="182"/>
      <c r="B7" s="177"/>
      <c r="C7" s="177"/>
      <c r="D7" s="177"/>
      <c r="E7" s="177"/>
      <c r="F7" s="177"/>
    </row>
    <row r="8" ht="13.5" customHeight="1">
      <c r="A8" s="182"/>
      <c r="B8" s="177"/>
      <c r="C8" s="177"/>
      <c r="D8" s="177"/>
      <c r="E8" s="177"/>
      <c r="F8" s="177"/>
    </row>
    <row r="9" ht="13.5" customHeight="1">
      <c r="A9" s="182"/>
      <c r="B9" s="177"/>
      <c r="C9" s="177"/>
      <c r="D9" s="177"/>
      <c r="E9" s="177"/>
      <c r="F9" s="177"/>
    </row>
    <row r="10" ht="13.5" customHeight="1">
      <c r="A10" s="182"/>
      <c r="B10" s="177"/>
      <c r="C10" s="177"/>
      <c r="D10" s="177"/>
      <c r="E10" s="177"/>
      <c r="F10" s="177"/>
    </row>
    <row r="11" ht="13.5" customHeight="1">
      <c r="A11" s="182"/>
      <c r="B11" s="177"/>
      <c r="C11" s="177"/>
      <c r="D11" s="177"/>
      <c r="E11" s="177"/>
      <c r="F11" s="177"/>
    </row>
    <row r="12" ht="13.5" customHeight="1">
      <c r="A12" s="182"/>
      <c r="B12" s="177"/>
      <c r="C12" s="177"/>
      <c r="D12" s="177"/>
      <c r="E12" s="177"/>
      <c r="F12" s="177"/>
    </row>
    <row r="13" ht="13.5" customHeight="1">
      <c r="A13" s="182"/>
      <c r="B13" s="177"/>
      <c r="C13" s="177"/>
      <c r="D13" s="177"/>
      <c r="E13" s="177"/>
      <c r="F13" s="177"/>
    </row>
    <row r="14" ht="13.5" customHeight="1">
      <c r="A14" s="182"/>
      <c r="B14" s="177"/>
      <c r="C14" s="177"/>
      <c r="D14" s="177"/>
      <c r="E14" s="177"/>
      <c r="F14" s="177"/>
    </row>
    <row r="15" ht="13.5" customHeight="1">
      <c r="A15" s="182"/>
      <c r="B15" s="177"/>
      <c r="C15" s="177"/>
      <c r="D15" s="177"/>
      <c r="E15" s="177"/>
      <c r="F15" s="177"/>
    </row>
    <row r="16" ht="13.5" customHeight="1">
      <c r="A16" s="182"/>
      <c r="B16" s="177"/>
      <c r="C16" s="177"/>
      <c r="D16" s="177"/>
      <c r="E16" s="177"/>
      <c r="F16" s="177"/>
    </row>
    <row r="17" ht="13.5" customHeight="1">
      <c r="A17" s="182"/>
      <c r="B17" s="177"/>
      <c r="C17" s="177"/>
      <c r="D17" s="177"/>
      <c r="E17" s="177"/>
      <c r="F17" s="177"/>
    </row>
    <row r="18" ht="13.5" customHeight="1">
      <c r="A18" s="182"/>
      <c r="B18" s="177"/>
      <c r="C18" s="177"/>
      <c r="D18" s="177"/>
      <c r="E18" s="177"/>
      <c r="F18" s="177"/>
    </row>
    <row r="19" ht="13.5" customHeight="1">
      <c r="A19" s="182"/>
      <c r="B19" s="177"/>
      <c r="C19" s="177"/>
      <c r="D19" s="177"/>
      <c r="E19" s="177"/>
      <c r="F19" s="177"/>
    </row>
    <row r="20" ht="13.5" customHeight="1">
      <c r="A20" s="182"/>
      <c r="B20" s="177"/>
      <c r="C20" s="177"/>
      <c r="D20" s="177"/>
      <c r="E20" s="177"/>
      <c r="F20" s="177"/>
    </row>
    <row r="21" ht="13.5" customHeight="1">
      <c r="A21" s="182"/>
      <c r="B21" s="177"/>
      <c r="C21" s="177"/>
      <c r="D21" s="177"/>
      <c r="E21" s="177"/>
      <c r="F21" s="177"/>
    </row>
    <row r="22" ht="13.5" customHeight="1">
      <c r="A22" s="182"/>
      <c r="B22" s="177"/>
      <c r="C22" s="177"/>
      <c r="D22" s="177"/>
      <c r="E22" s="177"/>
      <c r="F22" s="177"/>
    </row>
    <row r="23" ht="13.5" customHeight="1">
      <c r="A23" s="182"/>
      <c r="B23" s="177"/>
      <c r="C23" s="177"/>
      <c r="D23" s="177"/>
      <c r="E23" s="177"/>
      <c r="F23" s="177"/>
    </row>
    <row r="24" ht="13.5" customHeight="1">
      <c r="A24" s="182"/>
      <c r="B24" s="177"/>
      <c r="C24" s="177"/>
      <c r="D24" s="177"/>
      <c r="E24" s="177"/>
      <c r="F24" s="177"/>
    </row>
    <row r="25" ht="13.5" customHeight="1">
      <c r="A25" s="182"/>
      <c r="B25" s="177"/>
      <c r="C25" s="177"/>
      <c r="D25" s="177"/>
      <c r="E25" s="177"/>
      <c r="F25" s="177"/>
    </row>
    <row r="26" ht="13.5" customHeight="1">
      <c r="A26" s="182"/>
      <c r="B26" s="177"/>
      <c r="C26" s="177"/>
      <c r="D26" s="177"/>
      <c r="E26" s="177"/>
      <c r="F26" s="177"/>
    </row>
    <row r="27" ht="13.5" customHeight="1">
      <c r="A27" s="182"/>
      <c r="B27" s="177"/>
      <c r="C27" s="177"/>
      <c r="D27" s="177"/>
      <c r="E27" s="177"/>
      <c r="F27" s="177"/>
    </row>
    <row r="28" ht="13.5" customHeight="1">
      <c r="A28" s="182"/>
      <c r="B28" s="177"/>
      <c r="C28" s="177"/>
      <c r="D28" s="177"/>
      <c r="E28" s="177"/>
      <c r="F28" s="177"/>
    </row>
    <row r="29" ht="13.5" customHeight="1">
      <c r="A29" s="182"/>
      <c r="B29" s="177"/>
      <c r="C29" s="177"/>
      <c r="D29" s="177"/>
      <c r="E29" s="177"/>
      <c r="F29" s="177"/>
    </row>
    <row r="30" ht="13.5" customHeight="1">
      <c r="A30" s="182"/>
      <c r="B30" s="177"/>
      <c r="C30" s="177"/>
      <c r="D30" s="177"/>
      <c r="E30" s="177"/>
      <c r="F30" s="177"/>
    </row>
    <row r="31" ht="13.5" customHeight="1">
      <c r="A31" s="182"/>
      <c r="B31" s="177"/>
      <c r="C31" s="177"/>
      <c r="D31" s="177"/>
      <c r="E31" s="177"/>
      <c r="F31" s="177"/>
    </row>
    <row r="32" ht="13.5" customHeight="1">
      <c r="A32" s="182"/>
      <c r="B32" s="177"/>
      <c r="C32" s="177"/>
      <c r="D32" s="177"/>
      <c r="E32" s="177"/>
      <c r="F32" s="177"/>
    </row>
    <row r="33" ht="13.5" customHeight="1">
      <c r="A33" s="182"/>
      <c r="B33" s="177"/>
      <c r="C33" s="177"/>
      <c r="D33" s="177"/>
      <c r="E33" s="177"/>
      <c r="F33" s="177"/>
    </row>
    <row r="34" ht="13.5" customHeight="1">
      <c r="A34" s="182"/>
      <c r="B34" s="205"/>
      <c r="C34" s="205"/>
      <c r="D34" s="205"/>
      <c r="E34" s="205"/>
      <c r="F34" s="205"/>
    </row>
    <row r="35" ht="13.5" customHeight="1">
      <c r="A35" s="182"/>
      <c r="B35" s="205"/>
      <c r="C35" s="205"/>
      <c r="D35" s="205"/>
      <c r="E35" s="205"/>
      <c r="F35" s="205"/>
    </row>
    <row r="36" ht="13.5" customHeight="1">
      <c r="A36" s="182"/>
      <c r="B36" s="205"/>
      <c r="C36" s="205"/>
      <c r="D36" s="205"/>
      <c r="E36" s="205"/>
      <c r="F36" s="205"/>
    </row>
    <row r="37" ht="13.5" customHeight="1">
      <c r="A37" s="182"/>
      <c r="B37" s="205"/>
      <c r="C37" s="205"/>
      <c r="D37" s="205"/>
      <c r="E37" s="205"/>
      <c r="F37" s="205"/>
    </row>
    <row r="38" ht="13.5" customHeight="1">
      <c r="A38" s="182"/>
      <c r="B38" s="205"/>
      <c r="C38" s="205"/>
      <c r="D38" s="205"/>
      <c r="E38" s="205"/>
      <c r="F38" s="205"/>
    </row>
    <row r="39" ht="13.5" customHeight="1">
      <c r="A39" s="182"/>
      <c r="B39" s="205"/>
      <c r="C39" s="205"/>
      <c r="D39" s="205"/>
      <c r="E39" s="205"/>
      <c r="F39" s="205"/>
    </row>
    <row r="40" ht="13.5" customHeight="1">
      <c r="A40" s="182"/>
      <c r="B40" s="205"/>
      <c r="C40" s="205"/>
      <c r="D40" s="205"/>
      <c r="E40" s="205"/>
      <c r="F40" s="205"/>
    </row>
    <row r="41" ht="13.5" customHeight="1">
      <c r="A41" s="182"/>
      <c r="B41" s="205"/>
      <c r="C41" s="205"/>
      <c r="D41" s="205"/>
      <c r="E41" s="205"/>
      <c r="F41" s="205"/>
    </row>
    <row r="42" ht="13.5" customHeight="1">
      <c r="A42" s="182"/>
      <c r="B42" s="205"/>
      <c r="C42" s="205"/>
      <c r="D42" s="205"/>
      <c r="E42" s="205"/>
      <c r="F42" s="205"/>
    </row>
    <row r="43" ht="13.5" customHeight="1">
      <c r="A43" s="182"/>
      <c r="B43" s="205"/>
      <c r="C43" s="205"/>
      <c r="D43" s="205"/>
      <c r="E43" s="205"/>
      <c r="F43" s="205"/>
    </row>
    <row r="44" ht="13.5" customHeight="1">
      <c r="A44" s="182"/>
      <c r="B44" s="205"/>
      <c r="C44" s="205"/>
      <c r="D44" s="205"/>
      <c r="E44" s="205"/>
      <c r="F44" s="205"/>
    </row>
    <row r="45" ht="13.5" customHeight="1">
      <c r="A45" s="182"/>
      <c r="B45" s="205"/>
      <c r="C45" s="205"/>
      <c r="D45" s="205"/>
      <c r="E45" s="205"/>
      <c r="F45" s="205"/>
    </row>
    <row r="46" ht="13.5" customHeight="1">
      <c r="A46" s="182"/>
      <c r="B46" s="205"/>
      <c r="C46" s="205"/>
      <c r="D46" s="205"/>
      <c r="E46" s="205"/>
      <c r="F46" s="205"/>
    </row>
    <row r="47" ht="13.5" customHeight="1">
      <c r="A47" s="182"/>
      <c r="B47" s="205"/>
      <c r="C47" s="205"/>
      <c r="D47" s="205"/>
      <c r="E47" s="205"/>
      <c r="F47" s="205"/>
    </row>
    <row r="48" ht="13.5" customHeight="1">
      <c r="A48" s="182"/>
      <c r="B48" s="205"/>
      <c r="C48" s="205"/>
      <c r="D48" s="205"/>
      <c r="E48" s="205"/>
      <c r="F48" s="205"/>
    </row>
    <row r="49" ht="13.5" customHeight="1">
      <c r="A49" s="182"/>
      <c r="B49" s="205"/>
      <c r="C49" s="205"/>
      <c r="D49" s="205"/>
      <c r="E49" s="205"/>
      <c r="F49" s="205"/>
    </row>
    <row r="50" ht="13.5" customHeight="1">
      <c r="A50" s="182"/>
      <c r="B50" s="205"/>
      <c r="C50" s="205"/>
      <c r="D50" s="205"/>
      <c r="E50" s="205"/>
      <c r="F50" s="205"/>
    </row>
    <row r="51" ht="13.5" customHeight="1">
      <c r="A51" s="182"/>
      <c r="B51" s="205"/>
      <c r="C51" s="205"/>
      <c r="D51" s="205"/>
      <c r="E51" s="205"/>
      <c r="F51" s="205"/>
    </row>
    <row r="52" ht="13.5" customHeight="1">
      <c r="A52" s="182"/>
      <c r="B52" s="205"/>
      <c r="C52" s="205"/>
      <c r="D52" s="205"/>
      <c r="E52" s="205"/>
      <c r="F52" s="205"/>
    </row>
    <row r="53" ht="13.5" customHeight="1">
      <c r="A53" s="182"/>
      <c r="B53" s="205"/>
      <c r="C53" s="205"/>
      <c r="D53" s="205"/>
      <c r="E53" s="205"/>
      <c r="F53" s="205"/>
    </row>
    <row r="54" ht="13.5" customHeight="1">
      <c r="A54" s="182"/>
      <c r="B54" s="205"/>
      <c r="C54" s="205"/>
      <c r="D54" s="205"/>
      <c r="E54" s="205"/>
      <c r="F54" s="205"/>
    </row>
    <row r="55" ht="13.5" customHeight="1">
      <c r="A55" s="182"/>
      <c r="B55" s="205"/>
      <c r="C55" s="205"/>
      <c r="D55" s="205"/>
      <c r="E55" s="205"/>
      <c r="F55" s="205"/>
    </row>
    <row r="56" ht="13.5" customHeight="1">
      <c r="A56" s="182"/>
      <c r="B56" s="205"/>
      <c r="C56" s="205"/>
      <c r="D56" s="205"/>
      <c r="E56" s="205"/>
      <c r="F56" s="205"/>
    </row>
    <row r="57" ht="13.5" customHeight="1">
      <c r="A57" s="182"/>
      <c r="B57" s="205"/>
      <c r="C57" s="205"/>
      <c r="D57" s="205"/>
      <c r="E57" s="205"/>
      <c r="F57" s="205"/>
    </row>
    <row r="58" ht="13.5" customHeight="1">
      <c r="A58" s="182"/>
      <c r="B58" s="205"/>
      <c r="C58" s="205"/>
      <c r="D58" s="205"/>
      <c r="E58" s="205"/>
      <c r="F58" s="205"/>
    </row>
    <row r="59" ht="13.5" customHeight="1">
      <c r="A59" s="182"/>
      <c r="B59" s="205"/>
      <c r="C59" s="205"/>
      <c r="D59" s="205"/>
      <c r="E59" s="205"/>
      <c r="F59" s="205"/>
    </row>
    <row r="60" ht="13.5" customHeight="1">
      <c r="A60" s="182"/>
      <c r="B60" s="205"/>
      <c r="C60" s="205"/>
      <c r="D60" s="205"/>
      <c r="E60" s="205"/>
      <c r="F60" s="205"/>
    </row>
    <row r="61" ht="13.5" customHeight="1">
      <c r="A61" s="182"/>
      <c r="B61" s="205"/>
      <c r="C61" s="205"/>
      <c r="D61" s="205"/>
      <c r="E61" s="205"/>
      <c r="F61" s="205"/>
    </row>
    <row r="62" ht="13.5" customHeight="1">
      <c r="A62" s="182"/>
      <c r="B62" s="205"/>
      <c r="C62" s="205"/>
      <c r="D62" s="205"/>
      <c r="E62" s="205"/>
      <c r="F62" s="205"/>
    </row>
    <row r="63" ht="13.5" customHeight="1">
      <c r="A63" s="182"/>
      <c r="B63" s="205"/>
      <c r="C63" s="205"/>
      <c r="D63" s="205"/>
      <c r="E63" s="205"/>
      <c r="F63" s="205"/>
    </row>
    <row r="64" ht="13.5" customHeight="1">
      <c r="A64" s="182"/>
      <c r="B64" s="205"/>
      <c r="C64" s="205"/>
      <c r="D64" s="205"/>
      <c r="E64" s="205"/>
      <c r="F64" s="205"/>
    </row>
    <row r="65" ht="13.5" customHeight="1">
      <c r="A65" s="182"/>
      <c r="B65" s="205"/>
      <c r="C65" s="205"/>
      <c r="D65" s="205"/>
      <c r="E65" s="205"/>
      <c r="F65" s="205"/>
    </row>
    <row r="66" ht="13.5" customHeight="1">
      <c r="A66" s="182"/>
      <c r="B66" s="205"/>
      <c r="C66" s="205"/>
      <c r="D66" s="205"/>
      <c r="E66" s="205"/>
      <c r="F66" s="205"/>
    </row>
    <row r="67" ht="13.5" customHeight="1">
      <c r="A67" s="182"/>
      <c r="B67" s="205"/>
      <c r="C67" s="205"/>
      <c r="D67" s="205"/>
      <c r="E67" s="205"/>
      <c r="F67" s="205"/>
    </row>
    <row r="68" ht="13.5" customHeight="1">
      <c r="A68" s="182"/>
      <c r="B68" s="205"/>
      <c r="C68" s="205"/>
      <c r="D68" s="205"/>
      <c r="E68" s="205"/>
      <c r="F68" s="205"/>
    </row>
    <row r="69" ht="13.5" customHeight="1">
      <c r="A69" s="182"/>
      <c r="B69" s="205"/>
      <c r="C69" s="205"/>
      <c r="D69" s="205"/>
      <c r="E69" s="205"/>
      <c r="F69" s="205"/>
    </row>
    <row r="70" ht="13.5" customHeight="1">
      <c r="A70" s="182"/>
      <c r="B70" s="205"/>
      <c r="C70" s="205"/>
      <c r="D70" s="205"/>
      <c r="E70" s="205"/>
      <c r="F70" s="205"/>
    </row>
    <row r="71" ht="13.5" customHeight="1">
      <c r="A71" s="182"/>
      <c r="B71" s="205"/>
      <c r="C71" s="205"/>
      <c r="D71" s="205"/>
      <c r="E71" s="205"/>
      <c r="F71" s="205"/>
    </row>
    <row r="72" ht="13.5" customHeight="1">
      <c r="A72" s="182"/>
      <c r="B72" s="205"/>
      <c r="C72" s="205"/>
      <c r="D72" s="205"/>
      <c r="E72" s="205"/>
      <c r="F72" s="205"/>
    </row>
    <row r="73" ht="13.5" customHeight="1">
      <c r="A73" s="182"/>
      <c r="B73" s="205"/>
      <c r="C73" s="205"/>
      <c r="D73" s="205"/>
      <c r="E73" s="205"/>
      <c r="F73" s="205"/>
    </row>
    <row r="74" ht="13.5" customHeight="1">
      <c r="A74" s="182"/>
      <c r="B74" s="205"/>
      <c r="C74" s="205"/>
      <c r="D74" s="205"/>
      <c r="E74" s="205"/>
      <c r="F74" s="205"/>
    </row>
    <row r="75" ht="13.5" customHeight="1">
      <c r="A75" s="182"/>
      <c r="B75" s="205"/>
      <c r="C75" s="205"/>
      <c r="D75" s="205"/>
      <c r="E75" s="205"/>
      <c r="F75" s="205"/>
    </row>
    <row r="76" ht="13.5" customHeight="1">
      <c r="A76" s="182"/>
      <c r="B76" s="205"/>
      <c r="C76" s="205"/>
      <c r="D76" s="205"/>
      <c r="E76" s="205"/>
      <c r="F76" s="205"/>
    </row>
    <row r="77" ht="13.5" customHeight="1">
      <c r="A77" s="182"/>
      <c r="B77" s="205"/>
      <c r="C77" s="205"/>
      <c r="D77" s="205"/>
      <c r="E77" s="205"/>
      <c r="F77" s="205"/>
    </row>
    <row r="78" ht="13.5" customHeight="1">
      <c r="A78" s="182"/>
      <c r="B78" s="205"/>
      <c r="C78" s="205"/>
      <c r="D78" s="205"/>
      <c r="E78" s="205"/>
      <c r="F78" s="205"/>
    </row>
    <row r="79" ht="13.5" customHeight="1">
      <c r="A79" s="182"/>
      <c r="B79" s="205"/>
      <c r="C79" s="205"/>
      <c r="D79" s="205"/>
      <c r="E79" s="205"/>
      <c r="F79" s="205"/>
    </row>
    <row r="80" ht="13.5" customHeight="1">
      <c r="A80" s="182"/>
      <c r="B80" s="205"/>
      <c r="C80" s="205"/>
      <c r="D80" s="205"/>
      <c r="E80" s="205"/>
      <c r="F80" s="205"/>
    </row>
    <row r="81" ht="13.5" customHeight="1">
      <c r="A81" s="182"/>
      <c r="B81" s="205"/>
      <c r="C81" s="205"/>
      <c r="D81" s="205"/>
      <c r="E81" s="205"/>
      <c r="F81" s="205"/>
    </row>
    <row r="82" ht="13.5" customHeight="1">
      <c r="A82" s="182"/>
      <c r="B82" s="205"/>
      <c r="C82" s="205"/>
      <c r="D82" s="205"/>
      <c r="E82" s="205"/>
      <c r="F82" s="205"/>
    </row>
    <row r="83" ht="13.5" customHeight="1">
      <c r="A83" s="182"/>
      <c r="B83" s="205"/>
      <c r="C83" s="205"/>
      <c r="D83" s="205"/>
      <c r="E83" s="205"/>
      <c r="F83" s="205"/>
    </row>
    <row r="84" ht="13.5" customHeight="1">
      <c r="A84" s="182"/>
      <c r="B84" s="205"/>
      <c r="C84" s="205"/>
      <c r="D84" s="205"/>
      <c r="E84" s="205"/>
      <c r="F84" s="205"/>
    </row>
    <row r="85" ht="13.5" customHeight="1">
      <c r="A85" s="182"/>
      <c r="B85" s="205"/>
      <c r="C85" s="205"/>
      <c r="D85" s="205"/>
      <c r="E85" s="205"/>
      <c r="F85" s="205"/>
    </row>
    <row r="86" ht="13.5" customHeight="1">
      <c r="A86" s="182"/>
      <c r="B86" s="205"/>
      <c r="C86" s="205"/>
      <c r="D86" s="205"/>
      <c r="E86" s="205"/>
      <c r="F86" s="205"/>
    </row>
    <row r="87" ht="13.5" customHeight="1">
      <c r="A87" s="182"/>
      <c r="B87" s="205"/>
      <c r="C87" s="205"/>
      <c r="D87" s="205"/>
      <c r="E87" s="205"/>
      <c r="F87" s="205"/>
    </row>
    <row r="88" ht="13.5" customHeight="1">
      <c r="A88" s="182"/>
      <c r="B88" s="205"/>
      <c r="C88" s="205"/>
      <c r="D88" s="205"/>
      <c r="E88" s="205"/>
      <c r="F88" s="205"/>
    </row>
    <row r="89" ht="13.5" customHeight="1">
      <c r="A89" s="182"/>
      <c r="B89" s="205"/>
      <c r="C89" s="205"/>
      <c r="D89" s="205"/>
      <c r="E89" s="205"/>
      <c r="F89" s="205"/>
    </row>
    <row r="90" ht="13.5" customHeight="1">
      <c r="A90" s="182"/>
      <c r="B90" s="205"/>
      <c r="C90" s="205"/>
      <c r="D90" s="205"/>
      <c r="E90" s="205"/>
      <c r="F90" s="205"/>
    </row>
    <row r="91" ht="13.5" customHeight="1">
      <c r="A91" s="182"/>
      <c r="B91" s="205"/>
      <c r="C91" s="205"/>
      <c r="D91" s="205"/>
      <c r="E91" s="205"/>
      <c r="F91" s="205"/>
    </row>
    <row r="92" ht="13.5" customHeight="1">
      <c r="A92" s="182"/>
      <c r="B92" s="205"/>
      <c r="C92" s="205"/>
      <c r="D92" s="205"/>
      <c r="E92" s="205"/>
      <c r="F92" s="205"/>
    </row>
    <row r="93" ht="13.5" customHeight="1">
      <c r="A93" s="182"/>
      <c r="B93" s="205"/>
      <c r="C93" s="205"/>
      <c r="D93" s="205"/>
      <c r="E93" s="205"/>
      <c r="F93" s="205"/>
    </row>
    <row r="94" ht="13.5" customHeight="1">
      <c r="A94" s="182"/>
      <c r="B94" s="205"/>
      <c r="C94" s="205"/>
      <c r="D94" s="205"/>
      <c r="E94" s="205"/>
      <c r="F94" s="205"/>
    </row>
    <row r="95" ht="13.5" customHeight="1">
      <c r="A95" s="182"/>
      <c r="B95" s="205"/>
      <c r="C95" s="205"/>
      <c r="D95" s="205"/>
      <c r="E95" s="205"/>
      <c r="F95" s="205"/>
    </row>
    <row r="96" ht="13.5" customHeight="1">
      <c r="A96" s="182"/>
      <c r="B96" s="205"/>
      <c r="C96" s="205"/>
      <c r="D96" s="205"/>
      <c r="E96" s="205"/>
      <c r="F96" s="205"/>
    </row>
    <row r="97" ht="13.5" customHeight="1">
      <c r="A97" s="182"/>
      <c r="B97" s="205"/>
      <c r="C97" s="205"/>
      <c r="D97" s="205"/>
      <c r="E97" s="205"/>
      <c r="F97" s="205"/>
    </row>
    <row r="98" ht="13.5" customHeight="1">
      <c r="A98" s="182"/>
      <c r="B98" s="205"/>
      <c r="C98" s="205"/>
      <c r="D98" s="205"/>
      <c r="E98" s="205"/>
      <c r="F98" s="205"/>
    </row>
    <row r="99" ht="13.5" customHeight="1">
      <c r="A99" s="182"/>
      <c r="B99" s="205"/>
      <c r="C99" s="205"/>
      <c r="D99" s="205"/>
      <c r="E99" s="205"/>
      <c r="F99" s="205"/>
    </row>
    <row r="100" ht="13.5" customHeight="1">
      <c r="A100" s="182"/>
      <c r="B100" s="205"/>
      <c r="C100" s="205"/>
      <c r="D100" s="205"/>
      <c r="E100" s="205"/>
      <c r="F100" s="205"/>
    </row>
    <row r="101" ht="13.5" customHeight="1">
      <c r="A101" s="182"/>
      <c r="B101" s="205"/>
      <c r="C101" s="205"/>
      <c r="D101" s="205"/>
      <c r="E101" s="205"/>
      <c r="F101" s="205"/>
    </row>
    <row r="102" ht="13.5" customHeight="1">
      <c r="A102" s="182"/>
      <c r="B102" s="205"/>
      <c r="C102" s="205"/>
      <c r="D102" s="205"/>
      <c r="E102" s="205"/>
      <c r="F102" s="205"/>
    </row>
    <row r="103" ht="13.5" customHeight="1">
      <c r="A103" s="182"/>
      <c r="B103" s="205"/>
      <c r="C103" s="205"/>
      <c r="D103" s="205"/>
      <c r="E103" s="205"/>
      <c r="F103" s="205"/>
    </row>
    <row r="104" ht="13.5" customHeight="1">
      <c r="A104" s="182"/>
      <c r="B104" s="205"/>
      <c r="C104" s="205"/>
      <c r="D104" s="205"/>
      <c r="E104" s="205"/>
      <c r="F104" s="205"/>
    </row>
    <row r="105" ht="13.5" customHeight="1">
      <c r="A105" s="182"/>
      <c r="B105" s="205"/>
      <c r="C105" s="205"/>
      <c r="D105" s="205"/>
      <c r="E105" s="205"/>
      <c r="F105" s="205"/>
    </row>
    <row r="106" ht="13.5" customHeight="1">
      <c r="A106" s="182"/>
      <c r="B106" s="205"/>
      <c r="C106" s="205"/>
      <c r="D106" s="205"/>
      <c r="E106" s="205"/>
      <c r="F106" s="205"/>
    </row>
    <row r="107" ht="13.5" customHeight="1">
      <c r="A107" s="182"/>
      <c r="B107" s="205"/>
      <c r="C107" s="205"/>
      <c r="D107" s="205"/>
      <c r="E107" s="205"/>
      <c r="F107" s="205"/>
    </row>
    <row r="108" ht="13.5" customHeight="1">
      <c r="A108" s="182"/>
      <c r="B108" s="205"/>
      <c r="C108" s="205"/>
      <c r="D108" s="205"/>
      <c r="E108" s="205"/>
      <c r="F108" s="205"/>
    </row>
    <row r="109" ht="13.5" customHeight="1">
      <c r="A109" s="182"/>
      <c r="B109" s="205"/>
      <c r="C109" s="205"/>
      <c r="D109" s="205"/>
      <c r="E109" s="205"/>
      <c r="F109" s="205"/>
    </row>
    <row r="110" ht="13.5" customHeight="1">
      <c r="A110" s="182"/>
      <c r="B110" s="205"/>
      <c r="C110" s="205"/>
      <c r="D110" s="205"/>
      <c r="E110" s="205"/>
      <c r="F110" s="205"/>
    </row>
    <row r="111" ht="13.5" customHeight="1">
      <c r="A111" s="182"/>
      <c r="B111" s="205"/>
      <c r="C111" s="205"/>
      <c r="D111" s="205"/>
      <c r="E111" s="205"/>
      <c r="F111" s="205"/>
    </row>
    <row r="112" ht="13.5" customHeight="1">
      <c r="A112" s="182"/>
      <c r="B112" s="205"/>
      <c r="C112" s="205"/>
      <c r="D112" s="205"/>
      <c r="E112" s="205"/>
      <c r="F112" s="205"/>
    </row>
    <row r="113" ht="13.5" customHeight="1">
      <c r="A113" s="182"/>
      <c r="B113" s="205"/>
      <c r="C113" s="205"/>
      <c r="D113" s="205"/>
      <c r="E113" s="205"/>
      <c r="F113" s="205"/>
    </row>
    <row r="114" ht="13.5" customHeight="1">
      <c r="A114" s="182"/>
      <c r="B114" s="205"/>
      <c r="C114" s="205"/>
      <c r="D114" s="205"/>
      <c r="E114" s="205"/>
      <c r="F114" s="205"/>
    </row>
    <row r="115" ht="13.5" customHeight="1">
      <c r="A115" s="182"/>
      <c r="B115" s="205"/>
      <c r="C115" s="205"/>
      <c r="D115" s="205"/>
      <c r="E115" s="205"/>
      <c r="F115" s="205"/>
    </row>
    <row r="116" ht="13.5" customHeight="1">
      <c r="A116" s="182"/>
      <c r="B116" s="205"/>
      <c r="C116" s="205"/>
      <c r="D116" s="205"/>
      <c r="E116" s="205"/>
      <c r="F116" s="205"/>
    </row>
    <row r="117" ht="13.5" customHeight="1">
      <c r="A117" s="182"/>
      <c r="B117" s="205"/>
      <c r="C117" s="205"/>
      <c r="D117" s="205"/>
      <c r="E117" s="205"/>
      <c r="F117" s="205"/>
    </row>
    <row r="118" ht="13.5" customHeight="1">
      <c r="A118" s="182"/>
      <c r="B118" s="205"/>
      <c r="C118" s="205"/>
      <c r="D118" s="205"/>
      <c r="E118" s="205"/>
      <c r="F118" s="205"/>
    </row>
    <row r="119" ht="13.5" customHeight="1">
      <c r="A119" s="182"/>
      <c r="B119" s="205"/>
      <c r="C119" s="205"/>
      <c r="D119" s="205"/>
      <c r="E119" s="205"/>
      <c r="F119" s="205"/>
    </row>
    <row r="120" ht="13.5" customHeight="1">
      <c r="A120" s="182"/>
      <c r="B120" s="205"/>
      <c r="C120" s="205"/>
      <c r="D120" s="205"/>
      <c r="E120" s="205"/>
      <c r="F120" s="205"/>
    </row>
    <row r="121" ht="13.5" customHeight="1">
      <c r="A121" s="182"/>
      <c r="B121" s="205"/>
      <c r="C121" s="205"/>
      <c r="D121" s="205"/>
      <c r="E121" s="205"/>
      <c r="F121" s="205"/>
    </row>
    <row r="122" ht="13.5" customHeight="1">
      <c r="A122" s="182"/>
      <c r="B122" s="205"/>
      <c r="C122" s="205"/>
      <c r="D122" s="205"/>
      <c r="E122" s="205"/>
      <c r="F122" s="205"/>
    </row>
    <row r="123" ht="13.5" customHeight="1">
      <c r="A123" s="182"/>
      <c r="B123" s="205"/>
      <c r="C123" s="205"/>
      <c r="D123" s="205"/>
      <c r="E123" s="205"/>
      <c r="F123" s="205"/>
    </row>
    <row r="124" ht="13.5" customHeight="1">
      <c r="A124" s="182"/>
      <c r="B124" s="205"/>
      <c r="C124" s="205"/>
      <c r="D124" s="205"/>
      <c r="E124" s="205"/>
      <c r="F124" s="205"/>
    </row>
    <row r="125" ht="13.5" customHeight="1">
      <c r="A125" s="182"/>
      <c r="B125" s="205"/>
      <c r="C125" s="205"/>
      <c r="D125" s="205"/>
      <c r="E125" s="205"/>
      <c r="F125" s="205"/>
    </row>
    <row r="126" ht="13.5" customHeight="1">
      <c r="A126" s="182"/>
      <c r="B126" s="205"/>
      <c r="C126" s="205"/>
      <c r="D126" s="205"/>
      <c r="E126" s="205"/>
      <c r="F126" s="205"/>
    </row>
    <row r="127" ht="13.5" customHeight="1">
      <c r="A127" s="182"/>
      <c r="B127" s="205"/>
      <c r="C127" s="205"/>
      <c r="D127" s="205"/>
      <c r="E127" s="205"/>
      <c r="F127" s="205"/>
    </row>
    <row r="128" ht="13.5" customHeight="1">
      <c r="A128" s="182"/>
      <c r="B128" s="205"/>
      <c r="C128" s="205"/>
      <c r="D128" s="205"/>
      <c r="E128" s="205"/>
      <c r="F128" s="205"/>
    </row>
    <row r="129" ht="13.5" customHeight="1">
      <c r="A129" s="182"/>
      <c r="B129" s="205"/>
      <c r="C129" s="205"/>
      <c r="D129" s="205"/>
      <c r="E129" s="205"/>
      <c r="F129" s="205"/>
    </row>
    <row r="130" ht="13.5" customHeight="1">
      <c r="A130" s="182"/>
      <c r="B130" s="205"/>
      <c r="C130" s="205"/>
      <c r="D130" s="205"/>
      <c r="E130" s="205"/>
      <c r="F130" s="205"/>
    </row>
    <row r="131" ht="13.5" customHeight="1">
      <c r="A131" s="182"/>
      <c r="B131" s="205"/>
      <c r="C131" s="205"/>
      <c r="D131" s="205"/>
      <c r="E131" s="205"/>
      <c r="F131" s="205"/>
    </row>
    <row r="132" ht="13.5" customHeight="1">
      <c r="A132" s="182"/>
      <c r="B132" s="205"/>
      <c r="C132" s="205"/>
      <c r="D132" s="205"/>
      <c r="E132" s="205"/>
      <c r="F132" s="205"/>
    </row>
    <row r="133" ht="13.5" customHeight="1">
      <c r="A133" s="182"/>
      <c r="B133" s="205"/>
      <c r="C133" s="205"/>
      <c r="D133" s="205"/>
      <c r="E133" s="205"/>
      <c r="F133" s="205"/>
    </row>
    <row r="134" ht="13.5" customHeight="1">
      <c r="A134" s="182"/>
      <c r="B134" s="205"/>
      <c r="C134" s="205"/>
      <c r="D134" s="205"/>
      <c r="E134" s="205"/>
      <c r="F134" s="205"/>
    </row>
    <row r="135" ht="13.5" customHeight="1">
      <c r="A135" s="182"/>
      <c r="B135" s="205"/>
      <c r="C135" s="205"/>
      <c r="D135" s="205"/>
      <c r="E135" s="205"/>
      <c r="F135" s="205"/>
    </row>
    <row r="136" ht="13.5" customHeight="1">
      <c r="A136" s="182"/>
      <c r="B136" s="205"/>
      <c r="C136" s="205"/>
      <c r="D136" s="205"/>
      <c r="E136" s="205"/>
      <c r="F136" s="205"/>
    </row>
    <row r="137" ht="13.5" customHeight="1">
      <c r="A137" s="182"/>
      <c r="B137" s="205"/>
      <c r="C137" s="205"/>
      <c r="D137" s="205"/>
      <c r="E137" s="205"/>
      <c r="F137" s="205"/>
    </row>
    <row r="138" ht="13.5" customHeight="1">
      <c r="A138" s="182"/>
      <c r="B138" s="205"/>
      <c r="C138" s="205"/>
      <c r="D138" s="205"/>
      <c r="E138" s="205"/>
      <c r="F138" s="205"/>
    </row>
    <row r="139" ht="13.5" customHeight="1">
      <c r="A139" s="182"/>
      <c r="B139" s="205"/>
      <c r="C139" s="205"/>
      <c r="D139" s="205"/>
      <c r="E139" s="205"/>
      <c r="F139" s="205"/>
    </row>
    <row r="140" ht="13.5" customHeight="1">
      <c r="A140" s="182"/>
      <c r="B140" s="205"/>
      <c r="C140" s="205"/>
      <c r="D140" s="205"/>
      <c r="E140" s="205"/>
      <c r="F140" s="205"/>
    </row>
    <row r="141" ht="13.5" customHeight="1">
      <c r="A141" s="182"/>
      <c r="B141" s="205"/>
      <c r="C141" s="205"/>
      <c r="D141" s="205"/>
      <c r="E141" s="205"/>
      <c r="F141" s="205"/>
    </row>
    <row r="142" ht="13.5" customHeight="1">
      <c r="A142" s="182"/>
      <c r="B142" s="205"/>
      <c r="C142" s="205"/>
      <c r="D142" s="205"/>
      <c r="E142" s="205"/>
      <c r="F142" s="205"/>
    </row>
    <row r="143" ht="13.5" customHeight="1">
      <c r="A143" s="182"/>
      <c r="B143" s="205"/>
      <c r="C143" s="205"/>
      <c r="D143" s="205"/>
      <c r="E143" s="205"/>
      <c r="F143" s="205"/>
    </row>
    <row r="144" ht="13.5" customHeight="1">
      <c r="A144" s="182"/>
      <c r="B144" s="205"/>
      <c r="C144" s="205"/>
      <c r="D144" s="205"/>
      <c r="E144" s="205"/>
      <c r="F144" s="205"/>
    </row>
    <row r="145" ht="13.5" customHeight="1">
      <c r="A145" s="182"/>
      <c r="B145" s="205"/>
      <c r="C145" s="205"/>
      <c r="D145" s="205"/>
      <c r="E145" s="205"/>
      <c r="F145" s="205"/>
    </row>
    <row r="146" ht="13.5" customHeight="1">
      <c r="A146" s="182"/>
      <c r="B146" s="205"/>
      <c r="C146" s="205"/>
      <c r="D146" s="205"/>
      <c r="E146" s="205"/>
      <c r="F146" s="205"/>
    </row>
    <row r="147" ht="13.5" customHeight="1">
      <c r="A147" s="182"/>
      <c r="B147" s="205"/>
      <c r="C147" s="205"/>
      <c r="D147" s="205"/>
      <c r="E147" s="205"/>
      <c r="F147" s="205"/>
    </row>
    <row r="148" ht="13.5" customHeight="1">
      <c r="A148" s="182"/>
      <c r="B148" s="205"/>
      <c r="C148" s="205"/>
      <c r="D148" s="205"/>
      <c r="E148" s="205"/>
      <c r="F148" s="205"/>
    </row>
    <row r="149" ht="13.5" customHeight="1">
      <c r="A149" s="182"/>
      <c r="B149" s="205"/>
      <c r="C149" s="205"/>
      <c r="D149" s="205"/>
      <c r="E149" s="205"/>
      <c r="F149" s="205"/>
    </row>
    <row r="150" ht="13.5" customHeight="1">
      <c r="A150" s="182"/>
      <c r="B150" s="205"/>
      <c r="C150" s="205"/>
      <c r="D150" s="205"/>
      <c r="E150" s="205"/>
      <c r="F150" s="205"/>
    </row>
    <row r="151" ht="13.5" customHeight="1">
      <c r="A151" s="182"/>
      <c r="B151" s="205"/>
      <c r="C151" s="205"/>
      <c r="D151" s="205"/>
      <c r="E151" s="205"/>
      <c r="F151" s="205"/>
    </row>
    <row r="152" ht="13.5" customHeight="1">
      <c r="A152" s="182"/>
      <c r="B152" s="205"/>
      <c r="C152" s="205"/>
      <c r="D152" s="205"/>
      <c r="E152" s="205"/>
      <c r="F152" s="205"/>
    </row>
    <row r="153" ht="13.5" customHeight="1">
      <c r="A153" s="182"/>
      <c r="B153" s="205"/>
      <c r="C153" s="205"/>
      <c r="D153" s="205"/>
      <c r="E153" s="205"/>
      <c r="F153" s="205"/>
    </row>
    <row r="154" ht="13.5" customHeight="1">
      <c r="A154" s="182"/>
      <c r="B154" s="205"/>
      <c r="C154" s="205"/>
      <c r="D154" s="205"/>
      <c r="E154" s="205"/>
      <c r="F154" s="205"/>
    </row>
    <row r="155" ht="13.5" customHeight="1">
      <c r="A155" s="182"/>
      <c r="B155" s="205"/>
      <c r="C155" s="205"/>
      <c r="D155" s="205"/>
      <c r="E155" s="205"/>
      <c r="F155" s="205"/>
    </row>
    <row r="156" ht="13.5" customHeight="1">
      <c r="A156" s="182"/>
      <c r="B156" s="205"/>
      <c r="C156" s="205"/>
      <c r="D156" s="205"/>
      <c r="E156" s="205"/>
      <c r="F156" s="205"/>
    </row>
    <row r="157" ht="13.5" customHeight="1">
      <c r="A157" s="182"/>
      <c r="B157" s="205"/>
      <c r="C157" s="205"/>
      <c r="D157" s="205"/>
      <c r="E157" s="205"/>
      <c r="F157" s="205"/>
    </row>
    <row r="158" ht="13.5" customHeight="1">
      <c r="A158" s="182"/>
      <c r="B158" s="205"/>
      <c r="C158" s="205"/>
      <c r="D158" s="205"/>
      <c r="E158" s="205"/>
      <c r="F158" s="205"/>
    </row>
    <row r="159" ht="13.5" customHeight="1">
      <c r="A159" s="182"/>
      <c r="B159" s="205"/>
      <c r="C159" s="205"/>
      <c r="D159" s="205"/>
      <c r="E159" s="205"/>
      <c r="F159" s="205"/>
    </row>
    <row r="160" ht="13.5" customHeight="1">
      <c r="A160" s="182"/>
      <c r="B160" s="205"/>
      <c r="C160" s="205"/>
      <c r="D160" s="205"/>
      <c r="E160" s="205"/>
      <c r="F160" s="205"/>
    </row>
    <row r="161" ht="13.5" customHeight="1">
      <c r="A161" s="182"/>
      <c r="B161" s="205"/>
      <c r="C161" s="205"/>
      <c r="D161" s="205"/>
      <c r="E161" s="205"/>
      <c r="F161" s="205"/>
    </row>
    <row r="162" ht="13.5" customHeight="1">
      <c r="A162" s="182"/>
      <c r="B162" s="205"/>
      <c r="C162" s="205"/>
      <c r="D162" s="205"/>
      <c r="E162" s="205"/>
      <c r="F162" s="205"/>
    </row>
    <row r="163" ht="13.5" customHeight="1">
      <c r="A163" s="182"/>
      <c r="B163" s="205"/>
      <c r="C163" s="205"/>
      <c r="D163" s="205"/>
      <c r="E163" s="205"/>
      <c r="F163" s="205"/>
    </row>
    <row r="164" ht="13.5" customHeight="1">
      <c r="A164" s="182"/>
      <c r="B164" s="205"/>
      <c r="C164" s="205"/>
      <c r="D164" s="205"/>
      <c r="E164" s="205"/>
      <c r="F164" s="205"/>
    </row>
    <row r="165" ht="13.5" customHeight="1">
      <c r="A165" s="182"/>
      <c r="B165" s="205"/>
      <c r="C165" s="205"/>
      <c r="D165" s="205"/>
      <c r="E165" s="205"/>
      <c r="F165" s="205"/>
    </row>
    <row r="166" ht="13.5" customHeight="1">
      <c r="A166" s="182"/>
      <c r="B166" s="205"/>
      <c r="C166" s="205"/>
      <c r="D166" s="205"/>
      <c r="E166" s="205"/>
      <c r="F166" s="205"/>
    </row>
    <row r="167" ht="13.5" customHeight="1">
      <c r="A167" s="182"/>
      <c r="B167" s="205"/>
      <c r="C167" s="205"/>
      <c r="D167" s="205"/>
      <c r="E167" s="205"/>
      <c r="F167" s="205"/>
    </row>
    <row r="168" ht="13.5" customHeight="1">
      <c r="A168" s="182"/>
      <c r="B168" s="205"/>
      <c r="C168" s="205"/>
      <c r="D168" s="205"/>
      <c r="E168" s="205"/>
      <c r="F168" s="205"/>
    </row>
    <row r="169" ht="13.5" customHeight="1">
      <c r="A169" s="182"/>
      <c r="B169" s="205"/>
      <c r="C169" s="205"/>
      <c r="D169" s="205"/>
      <c r="E169" s="205"/>
      <c r="F169" s="205"/>
    </row>
    <row r="170" ht="13.5" customHeight="1">
      <c r="A170" s="182"/>
      <c r="B170" s="205"/>
      <c r="C170" s="205"/>
      <c r="D170" s="205"/>
      <c r="E170" s="205"/>
      <c r="F170" s="205"/>
    </row>
    <row r="171" ht="13.5" customHeight="1">
      <c r="A171" s="182"/>
      <c r="B171" s="205"/>
      <c r="C171" s="205"/>
      <c r="D171" s="205"/>
      <c r="E171" s="205"/>
      <c r="F171" s="205"/>
    </row>
    <row r="172" ht="13.5" customHeight="1">
      <c r="A172" s="182"/>
      <c r="B172" s="205"/>
      <c r="C172" s="205"/>
      <c r="D172" s="205"/>
      <c r="E172" s="205"/>
      <c r="F172" s="205"/>
    </row>
    <row r="173" ht="13.5" customHeight="1">
      <c r="A173" s="182"/>
      <c r="B173" s="205"/>
      <c r="C173" s="205"/>
      <c r="D173" s="205"/>
      <c r="E173" s="205"/>
      <c r="F173" s="205"/>
    </row>
    <row r="174" ht="13.5" customHeight="1">
      <c r="A174" s="182"/>
      <c r="B174" s="205"/>
      <c r="C174" s="205"/>
      <c r="D174" s="205"/>
      <c r="E174" s="205"/>
      <c r="F174" s="205"/>
    </row>
    <row r="175" ht="13.5" customHeight="1">
      <c r="A175" s="182"/>
      <c r="B175" s="205"/>
      <c r="C175" s="205"/>
      <c r="D175" s="205"/>
      <c r="E175" s="205"/>
      <c r="F175" s="205"/>
    </row>
    <row r="176" ht="13.5" customHeight="1">
      <c r="A176" s="182"/>
      <c r="B176" s="205"/>
      <c r="C176" s="205"/>
      <c r="D176" s="205"/>
      <c r="E176" s="205"/>
      <c r="F176" s="205"/>
    </row>
    <row r="177" ht="13.5" customHeight="1">
      <c r="A177" s="182"/>
      <c r="B177" s="205"/>
      <c r="C177" s="205"/>
      <c r="D177" s="205"/>
      <c r="E177" s="205"/>
      <c r="F177" s="205"/>
    </row>
    <row r="178" ht="13.5" customHeight="1">
      <c r="A178" s="182"/>
      <c r="B178" s="205"/>
      <c r="C178" s="205"/>
      <c r="D178" s="205"/>
      <c r="E178" s="205"/>
      <c r="F178" s="205"/>
    </row>
    <row r="179" ht="13.5" customHeight="1">
      <c r="A179" s="182"/>
      <c r="B179" s="205"/>
      <c r="C179" s="205"/>
      <c r="D179" s="205"/>
      <c r="E179" s="205"/>
      <c r="F179" s="205"/>
    </row>
    <row r="180" ht="13.5" customHeight="1">
      <c r="A180" s="182"/>
      <c r="B180" s="205"/>
      <c r="C180" s="205"/>
      <c r="D180" s="205"/>
      <c r="E180" s="205"/>
      <c r="F180" s="205"/>
    </row>
    <row r="181" ht="13.5" customHeight="1">
      <c r="A181" s="182"/>
      <c r="B181" s="205"/>
      <c r="C181" s="205"/>
      <c r="D181" s="205"/>
      <c r="E181" s="205"/>
      <c r="F181" s="205"/>
    </row>
    <row r="182" ht="13.5" customHeight="1">
      <c r="A182" s="182"/>
      <c r="B182" s="205"/>
      <c r="C182" s="205"/>
      <c r="D182" s="205"/>
      <c r="E182" s="205"/>
      <c r="F182" s="205"/>
    </row>
    <row r="183" ht="13.5" customHeight="1">
      <c r="A183" s="182"/>
      <c r="B183" s="205"/>
      <c r="C183" s="205"/>
      <c r="D183" s="205"/>
      <c r="E183" s="205"/>
      <c r="F183" s="205"/>
    </row>
    <row r="184" ht="13.5" customHeight="1">
      <c r="A184" s="182"/>
      <c r="B184" s="205"/>
      <c r="C184" s="205"/>
      <c r="D184" s="205"/>
      <c r="E184" s="205"/>
      <c r="F184" s="205"/>
    </row>
    <row r="185" ht="13.5" customHeight="1">
      <c r="A185" s="182"/>
      <c r="B185" s="205"/>
      <c r="C185" s="205"/>
      <c r="D185" s="205"/>
      <c r="E185" s="205"/>
      <c r="F185" s="205"/>
    </row>
    <row r="186" ht="13.5" customHeight="1">
      <c r="A186" s="182"/>
      <c r="B186" s="205"/>
      <c r="C186" s="205"/>
      <c r="D186" s="205"/>
      <c r="E186" s="205"/>
      <c r="F186" s="205"/>
    </row>
    <row r="187" ht="13.5" customHeight="1">
      <c r="A187" s="182"/>
      <c r="B187" s="205"/>
      <c r="C187" s="205"/>
      <c r="D187" s="205"/>
      <c r="E187" s="205"/>
      <c r="F187" s="205"/>
    </row>
    <row r="188" ht="13.5" customHeight="1">
      <c r="A188" s="182"/>
      <c r="B188" s="205"/>
      <c r="C188" s="205"/>
      <c r="D188" s="205"/>
      <c r="E188" s="205"/>
      <c r="F188" s="205"/>
    </row>
    <row r="189" ht="13.5" customHeight="1">
      <c r="A189" s="182"/>
      <c r="B189" s="205"/>
      <c r="C189" s="205"/>
      <c r="D189" s="205"/>
      <c r="E189" s="205"/>
      <c r="F189" s="205"/>
    </row>
    <row r="190" ht="13.5" customHeight="1">
      <c r="A190" s="182"/>
      <c r="B190" s="205"/>
      <c r="C190" s="205"/>
      <c r="D190" s="205"/>
      <c r="E190" s="205"/>
      <c r="F190" s="205"/>
    </row>
    <row r="191" ht="13.5" customHeight="1">
      <c r="A191" s="182"/>
      <c r="B191" s="205"/>
      <c r="C191" s="205"/>
      <c r="D191" s="205"/>
      <c r="E191" s="205"/>
      <c r="F191" s="205"/>
    </row>
    <row r="192" ht="13.5" customHeight="1">
      <c r="A192" s="182"/>
      <c r="B192" s="205"/>
      <c r="C192" s="205"/>
      <c r="D192" s="205"/>
      <c r="E192" s="205"/>
      <c r="F192" s="205"/>
    </row>
    <row r="193" ht="13.5" customHeight="1">
      <c r="A193" s="182"/>
      <c r="B193" s="205"/>
      <c r="C193" s="205"/>
      <c r="D193" s="205"/>
      <c r="E193" s="205"/>
      <c r="F193" s="205"/>
    </row>
    <row r="194" ht="13.5" customHeight="1">
      <c r="A194" s="182"/>
      <c r="B194" s="205"/>
      <c r="C194" s="205"/>
      <c r="D194" s="205"/>
      <c r="E194" s="205"/>
      <c r="F194" s="205"/>
    </row>
    <row r="195" ht="13.5" customHeight="1">
      <c r="A195" s="182"/>
      <c r="B195" s="205"/>
      <c r="C195" s="205"/>
      <c r="D195" s="205"/>
      <c r="E195" s="205"/>
      <c r="F195" s="205"/>
    </row>
    <row r="196" ht="13.5" customHeight="1">
      <c r="A196" s="182"/>
      <c r="B196" s="205"/>
      <c r="C196" s="205"/>
      <c r="D196" s="205"/>
      <c r="E196" s="205"/>
      <c r="F196" s="205"/>
    </row>
    <row r="197" ht="13.5" customHeight="1">
      <c r="A197" s="182"/>
      <c r="B197" s="205"/>
      <c r="C197" s="205"/>
      <c r="D197" s="205"/>
      <c r="E197" s="205"/>
      <c r="F197" s="205"/>
    </row>
    <row r="198" ht="13.5" customHeight="1">
      <c r="A198" s="182"/>
      <c r="B198" s="205"/>
      <c r="C198" s="205"/>
      <c r="D198" s="205"/>
      <c r="E198" s="205"/>
      <c r="F198" s="205"/>
    </row>
    <row r="199" ht="13.5" customHeight="1">
      <c r="A199" s="182"/>
      <c r="B199" s="205"/>
      <c r="C199" s="205"/>
      <c r="D199" s="205"/>
      <c r="E199" s="205"/>
      <c r="F199" s="205"/>
    </row>
    <row r="200" ht="13.5" customHeight="1">
      <c r="A200" s="182"/>
      <c r="B200" s="205"/>
      <c r="C200" s="205"/>
      <c r="D200" s="205"/>
      <c r="E200" s="205"/>
      <c r="F200" s="205"/>
    </row>
    <row r="201" ht="13.5" customHeight="1">
      <c r="A201" s="182"/>
      <c r="B201" s="205"/>
      <c r="C201" s="205"/>
      <c r="D201" s="205"/>
      <c r="E201" s="205"/>
      <c r="F201" s="205"/>
    </row>
    <row r="202" ht="13.5" customHeight="1">
      <c r="A202" s="182"/>
      <c r="B202" s="205"/>
      <c r="C202" s="205"/>
      <c r="D202" s="205"/>
      <c r="E202" s="205"/>
      <c r="F202" s="205"/>
    </row>
    <row r="203" ht="13.5" customHeight="1">
      <c r="A203" s="182"/>
      <c r="B203" s="205"/>
      <c r="C203" s="205"/>
      <c r="D203" s="205"/>
      <c r="E203" s="205"/>
      <c r="F203" s="205"/>
    </row>
    <row r="204" ht="13.5" customHeight="1">
      <c r="A204" s="182"/>
      <c r="B204" s="205"/>
      <c r="C204" s="205"/>
      <c r="D204" s="205"/>
      <c r="E204" s="205"/>
      <c r="F204" s="205"/>
    </row>
    <row r="205" ht="13.5" customHeight="1">
      <c r="A205" s="182"/>
      <c r="B205" s="205"/>
      <c r="C205" s="205"/>
      <c r="D205" s="205"/>
      <c r="E205" s="205"/>
      <c r="F205" s="205"/>
    </row>
    <row r="206" ht="13.5" customHeight="1">
      <c r="A206" s="182"/>
      <c r="B206" s="205"/>
      <c r="C206" s="205"/>
      <c r="D206" s="205"/>
      <c r="E206" s="205"/>
      <c r="F206" s="205"/>
    </row>
    <row r="207" ht="13.5" customHeight="1">
      <c r="A207" s="182"/>
      <c r="B207" s="205"/>
      <c r="C207" s="205"/>
      <c r="D207" s="205"/>
      <c r="E207" s="205"/>
      <c r="F207" s="205"/>
    </row>
    <row r="208" ht="13.5" customHeight="1">
      <c r="A208" s="182"/>
      <c r="B208" s="205"/>
      <c r="C208" s="205"/>
      <c r="D208" s="205"/>
      <c r="E208" s="205"/>
      <c r="F208" s="205"/>
    </row>
    <row r="209" ht="13.5" customHeight="1">
      <c r="A209" s="182"/>
      <c r="B209" s="205"/>
      <c r="C209" s="205"/>
      <c r="D209" s="205"/>
      <c r="E209" s="205"/>
      <c r="F209" s="205"/>
    </row>
    <row r="210" ht="13.5" customHeight="1">
      <c r="A210" s="182"/>
      <c r="B210" s="205"/>
      <c r="C210" s="205"/>
      <c r="D210" s="205"/>
      <c r="E210" s="205"/>
      <c r="F210" s="205"/>
    </row>
    <row r="211" ht="13.5" customHeight="1">
      <c r="A211" s="182"/>
      <c r="B211" s="205"/>
      <c r="C211" s="205"/>
      <c r="D211" s="205"/>
      <c r="E211" s="205"/>
      <c r="F211" s="205"/>
    </row>
    <row r="212" ht="13.5" customHeight="1">
      <c r="A212" s="182"/>
      <c r="B212" s="205"/>
      <c r="C212" s="205"/>
      <c r="D212" s="205"/>
      <c r="E212" s="205"/>
      <c r="F212" s="205"/>
    </row>
    <row r="213" ht="13.5" customHeight="1">
      <c r="A213" s="182"/>
      <c r="B213" s="205"/>
      <c r="C213" s="205"/>
      <c r="D213" s="205"/>
      <c r="E213" s="205"/>
      <c r="F213" s="205"/>
    </row>
    <row r="214" ht="13.5" customHeight="1">
      <c r="A214" s="182"/>
      <c r="B214" s="205"/>
      <c r="C214" s="205"/>
      <c r="D214" s="205"/>
      <c r="E214" s="205"/>
      <c r="F214" s="205"/>
    </row>
    <row r="215" ht="13.5" customHeight="1">
      <c r="A215" s="182"/>
      <c r="B215" s="205"/>
      <c r="C215" s="205"/>
      <c r="D215" s="205"/>
      <c r="E215" s="205"/>
      <c r="F215" s="205"/>
    </row>
    <row r="216" ht="13.5" customHeight="1">
      <c r="A216" s="182"/>
      <c r="B216" s="205"/>
      <c r="C216" s="205"/>
      <c r="D216" s="205"/>
      <c r="E216" s="205"/>
      <c r="F216" s="205"/>
    </row>
    <row r="217" ht="13.5" customHeight="1">
      <c r="A217" s="182"/>
      <c r="B217" s="205"/>
      <c r="C217" s="205"/>
      <c r="D217" s="205"/>
      <c r="E217" s="205"/>
      <c r="F217" s="205"/>
    </row>
    <row r="218" ht="13.5" customHeight="1">
      <c r="A218" s="182"/>
      <c r="B218" s="205"/>
      <c r="C218" s="205"/>
      <c r="D218" s="205"/>
      <c r="E218" s="205"/>
      <c r="F218" s="205"/>
    </row>
    <row r="219" ht="13.5" customHeight="1">
      <c r="A219" s="182"/>
      <c r="B219" s="205"/>
      <c r="C219" s="205"/>
      <c r="D219" s="205"/>
      <c r="E219" s="205"/>
      <c r="F219" s="205"/>
    </row>
    <row r="220" ht="13.5" customHeight="1">
      <c r="A220" s="182"/>
      <c r="B220" s="205"/>
      <c r="C220" s="205"/>
      <c r="D220" s="205"/>
      <c r="E220" s="205"/>
      <c r="F220" s="205"/>
    </row>
    <row r="221" ht="13.5" customHeight="1">
      <c r="A221" s="182"/>
      <c r="B221" s="205"/>
      <c r="C221" s="205"/>
      <c r="D221" s="205"/>
      <c r="E221" s="205"/>
      <c r="F221" s="205"/>
    </row>
    <row r="222" ht="13.5" customHeight="1">
      <c r="A222" s="182"/>
      <c r="B222" s="205"/>
      <c r="C222" s="205"/>
      <c r="D222" s="205"/>
      <c r="E222" s="205"/>
      <c r="F222" s="205"/>
    </row>
    <row r="223" ht="13.5" customHeight="1">
      <c r="A223" s="182"/>
      <c r="B223" s="205"/>
      <c r="C223" s="205"/>
      <c r="D223" s="205"/>
      <c r="E223" s="205"/>
      <c r="F223" s="205"/>
    </row>
    <row r="224" ht="13.5" customHeight="1">
      <c r="A224" s="182"/>
      <c r="B224" s="205"/>
      <c r="C224" s="205"/>
      <c r="D224" s="205"/>
      <c r="E224" s="205"/>
      <c r="F224" s="205"/>
    </row>
    <row r="225" ht="13.5" customHeight="1">
      <c r="A225" s="182"/>
      <c r="B225" s="205"/>
      <c r="C225" s="205"/>
      <c r="D225" s="205"/>
      <c r="E225" s="205"/>
      <c r="F225" s="205"/>
    </row>
    <row r="226" ht="13.5" customHeight="1">
      <c r="A226" s="182"/>
      <c r="B226" s="205"/>
      <c r="C226" s="205"/>
      <c r="D226" s="205"/>
      <c r="E226" s="205"/>
      <c r="F226" s="205"/>
    </row>
    <row r="227" ht="13.5" customHeight="1">
      <c r="A227" s="182"/>
      <c r="B227" s="205"/>
      <c r="C227" s="205"/>
      <c r="D227" s="205"/>
      <c r="E227" s="205"/>
      <c r="F227" s="205"/>
    </row>
    <row r="228" ht="13.5" customHeight="1">
      <c r="A228" s="182"/>
      <c r="B228" s="205"/>
      <c r="C228" s="205"/>
      <c r="D228" s="205"/>
      <c r="E228" s="205"/>
      <c r="F228" s="205"/>
    </row>
    <row r="229" ht="13.5" customHeight="1">
      <c r="A229" s="182"/>
      <c r="B229" s="205"/>
      <c r="C229" s="205"/>
      <c r="D229" s="205"/>
      <c r="E229" s="205"/>
      <c r="F229" s="205"/>
    </row>
    <row r="230" ht="13.5" customHeight="1">
      <c r="A230" s="182"/>
      <c r="B230" s="205"/>
      <c r="C230" s="205"/>
      <c r="D230" s="205"/>
      <c r="E230" s="205"/>
      <c r="F230" s="205"/>
    </row>
    <row r="231" ht="13.5" customHeight="1">
      <c r="A231" s="182"/>
      <c r="B231" s="205"/>
      <c r="C231" s="205"/>
      <c r="D231" s="205"/>
      <c r="E231" s="205"/>
      <c r="F231" s="205"/>
    </row>
    <row r="232" ht="13.5" customHeight="1">
      <c r="A232" s="182"/>
      <c r="B232" s="205"/>
      <c r="C232" s="205"/>
      <c r="D232" s="205"/>
      <c r="E232" s="205"/>
      <c r="F232" s="205"/>
    </row>
    <row r="233" ht="13.5" customHeight="1">
      <c r="A233" s="182"/>
      <c r="B233" s="205"/>
      <c r="C233" s="205"/>
      <c r="D233" s="205"/>
      <c r="E233" s="205"/>
      <c r="F233" s="205"/>
    </row>
    <row r="234" ht="13.5" customHeight="1">
      <c r="A234" s="182"/>
      <c r="B234" s="205"/>
      <c r="C234" s="205"/>
      <c r="D234" s="205"/>
      <c r="E234" s="205"/>
      <c r="F234" s="205"/>
    </row>
    <row r="235" ht="13.5" customHeight="1">
      <c r="A235" s="182"/>
      <c r="B235" s="205"/>
      <c r="C235" s="205"/>
      <c r="D235" s="205"/>
      <c r="E235" s="205"/>
      <c r="F235" s="205"/>
    </row>
    <row r="236" ht="13.5" customHeight="1">
      <c r="A236" s="182"/>
      <c r="B236" s="205"/>
      <c r="C236" s="205"/>
      <c r="D236" s="205"/>
      <c r="E236" s="205"/>
      <c r="F236" s="205"/>
    </row>
    <row r="237" ht="13.5" customHeight="1">
      <c r="A237" s="182"/>
      <c r="B237" s="205"/>
      <c r="C237" s="205"/>
      <c r="D237" s="205"/>
      <c r="E237" s="205"/>
      <c r="F237" s="205"/>
    </row>
    <row r="238" ht="13.5" customHeight="1">
      <c r="A238" s="182"/>
      <c r="B238" s="205"/>
      <c r="C238" s="205"/>
      <c r="D238" s="205"/>
      <c r="E238" s="205"/>
      <c r="F238" s="205"/>
    </row>
    <row r="239" ht="13.5" customHeight="1">
      <c r="A239" s="182"/>
      <c r="B239" s="205"/>
      <c r="C239" s="205"/>
      <c r="D239" s="205"/>
      <c r="E239" s="205"/>
      <c r="F239" s="205"/>
    </row>
    <row r="240" ht="13.5" customHeight="1">
      <c r="A240" s="182"/>
      <c r="B240" s="205"/>
      <c r="C240" s="205"/>
      <c r="D240" s="205"/>
      <c r="E240" s="205"/>
      <c r="F240" s="205"/>
    </row>
    <row r="241" ht="13.5" customHeight="1">
      <c r="A241" s="182"/>
      <c r="B241" s="205"/>
      <c r="C241" s="205"/>
      <c r="D241" s="205"/>
      <c r="E241" s="205"/>
      <c r="F241" s="205"/>
    </row>
    <row r="242" ht="13.5" customHeight="1">
      <c r="A242" s="182"/>
      <c r="B242" s="205"/>
      <c r="C242" s="205"/>
      <c r="D242" s="205"/>
      <c r="E242" s="205"/>
      <c r="F242" s="205"/>
    </row>
    <row r="243" ht="13.5" customHeight="1">
      <c r="A243" s="182"/>
      <c r="B243" s="205"/>
      <c r="C243" s="205"/>
      <c r="D243" s="205"/>
      <c r="E243" s="205"/>
      <c r="F243" s="205"/>
    </row>
    <row r="244" ht="13.5" customHeight="1">
      <c r="A244" s="182"/>
      <c r="B244" s="205"/>
      <c r="C244" s="205"/>
      <c r="D244" s="205"/>
      <c r="E244" s="205"/>
      <c r="F244" s="205"/>
    </row>
    <row r="245" ht="13.5" customHeight="1">
      <c r="A245" s="182"/>
      <c r="B245" s="205"/>
      <c r="C245" s="205"/>
      <c r="D245" s="205"/>
      <c r="E245" s="205"/>
      <c r="F245" s="205"/>
    </row>
    <row r="246" ht="13.5" customHeight="1">
      <c r="A246" s="182"/>
      <c r="B246" s="205"/>
      <c r="C246" s="205"/>
      <c r="D246" s="205"/>
      <c r="E246" s="205"/>
      <c r="F246" s="205"/>
    </row>
    <row r="247" ht="13.5" customHeight="1">
      <c r="A247" s="182"/>
      <c r="B247" s="205"/>
      <c r="C247" s="205"/>
      <c r="D247" s="205"/>
      <c r="E247" s="205"/>
      <c r="F247" s="205"/>
    </row>
    <row r="248" ht="13.5" customHeight="1">
      <c r="A248" s="182"/>
      <c r="B248" s="205"/>
      <c r="C248" s="205"/>
      <c r="D248" s="205"/>
      <c r="E248" s="205"/>
      <c r="F248" s="205"/>
    </row>
    <row r="249" ht="13.5" customHeight="1">
      <c r="A249" s="182"/>
      <c r="B249" s="205"/>
      <c r="C249" s="205"/>
      <c r="D249" s="205"/>
      <c r="E249" s="205"/>
      <c r="F249" s="205"/>
    </row>
    <row r="250" ht="13.5" customHeight="1">
      <c r="A250" s="182"/>
      <c r="B250" s="205"/>
      <c r="C250" s="205"/>
      <c r="D250" s="205"/>
      <c r="E250" s="205"/>
      <c r="F250" s="205"/>
    </row>
    <row r="251" ht="13.5" customHeight="1">
      <c r="A251" s="182"/>
      <c r="B251" s="205"/>
      <c r="C251" s="205"/>
      <c r="D251" s="205"/>
      <c r="E251" s="205"/>
      <c r="F251" s="205"/>
    </row>
    <row r="252" ht="13.5" customHeight="1">
      <c r="A252" s="182"/>
      <c r="B252" s="205"/>
      <c r="C252" s="205"/>
      <c r="D252" s="205"/>
      <c r="E252" s="205"/>
      <c r="F252" s="205"/>
    </row>
    <row r="253" ht="13.5" customHeight="1">
      <c r="A253" s="182"/>
      <c r="B253" s="205"/>
      <c r="C253" s="205"/>
      <c r="D253" s="205"/>
      <c r="E253" s="205"/>
      <c r="F253" s="205"/>
    </row>
    <row r="254" ht="13.5" customHeight="1">
      <c r="A254" s="182"/>
      <c r="B254" s="205"/>
      <c r="C254" s="205"/>
      <c r="D254" s="205"/>
      <c r="E254" s="205"/>
      <c r="F254" s="205"/>
    </row>
    <row r="255" ht="13.5" customHeight="1">
      <c r="A255" s="182"/>
      <c r="B255" s="205"/>
      <c r="C255" s="205"/>
      <c r="D255" s="205"/>
      <c r="E255" s="205"/>
      <c r="F255" s="205"/>
    </row>
    <row r="256" ht="13.5" customHeight="1">
      <c r="A256" s="182"/>
      <c r="B256" s="205"/>
      <c r="C256" s="205"/>
      <c r="D256" s="205"/>
      <c r="E256" s="205"/>
      <c r="F256" s="205"/>
    </row>
    <row r="257" ht="13.5" customHeight="1">
      <c r="A257" s="182"/>
      <c r="B257" s="205"/>
      <c r="C257" s="205"/>
      <c r="D257" s="205"/>
      <c r="E257" s="205"/>
      <c r="F257" s="205"/>
    </row>
    <row r="258" ht="13.5" customHeight="1">
      <c r="A258" s="182"/>
      <c r="B258" s="205"/>
      <c r="C258" s="205"/>
      <c r="D258" s="205"/>
      <c r="E258" s="205"/>
      <c r="F258" s="205"/>
    </row>
    <row r="259" ht="13.5" customHeight="1">
      <c r="A259" s="182"/>
      <c r="B259" s="205"/>
      <c r="C259" s="205"/>
      <c r="D259" s="205"/>
      <c r="E259" s="205"/>
      <c r="F259" s="205"/>
    </row>
    <row r="260" ht="13.5" customHeight="1">
      <c r="A260" s="182"/>
      <c r="B260" s="205"/>
      <c r="C260" s="205"/>
      <c r="D260" s="205"/>
      <c r="E260" s="205"/>
      <c r="F260" s="205"/>
    </row>
    <row r="261" ht="13.5" customHeight="1">
      <c r="A261" s="182"/>
      <c r="B261" s="205"/>
      <c r="C261" s="205"/>
      <c r="D261" s="205"/>
      <c r="E261" s="205"/>
      <c r="F261" s="205"/>
    </row>
    <row r="262" ht="13.5" customHeight="1">
      <c r="A262" s="182"/>
      <c r="B262" s="205"/>
      <c r="C262" s="205"/>
      <c r="D262" s="205"/>
      <c r="E262" s="205"/>
      <c r="F262" s="205"/>
    </row>
    <row r="263" ht="13.5" customHeight="1">
      <c r="A263" s="182"/>
      <c r="B263" s="205"/>
      <c r="C263" s="205"/>
      <c r="D263" s="205"/>
      <c r="E263" s="205"/>
      <c r="F263" s="205"/>
    </row>
    <row r="264" ht="13.5" customHeight="1">
      <c r="A264" s="182"/>
      <c r="B264" s="205"/>
      <c r="C264" s="205"/>
      <c r="D264" s="205"/>
      <c r="E264" s="205"/>
      <c r="F264" s="205"/>
    </row>
    <row r="265" ht="13.5" customHeight="1">
      <c r="A265" s="182"/>
      <c r="B265" s="205"/>
      <c r="C265" s="205"/>
      <c r="D265" s="205"/>
      <c r="E265" s="205"/>
      <c r="F265" s="205"/>
    </row>
    <row r="266" ht="13.5" customHeight="1">
      <c r="A266" s="182"/>
      <c r="B266" s="205"/>
      <c r="C266" s="205"/>
      <c r="D266" s="205"/>
      <c r="E266" s="205"/>
      <c r="F266" s="205"/>
    </row>
    <row r="267" ht="13.5" customHeight="1">
      <c r="A267" s="182"/>
      <c r="B267" s="205"/>
      <c r="C267" s="205"/>
      <c r="D267" s="205"/>
      <c r="E267" s="205"/>
      <c r="F267" s="205"/>
    </row>
    <row r="268" ht="13.5" customHeight="1">
      <c r="A268" s="182"/>
      <c r="B268" s="205"/>
      <c r="C268" s="205"/>
      <c r="D268" s="205"/>
      <c r="E268" s="205"/>
      <c r="F268" s="205"/>
    </row>
    <row r="269" ht="13.5" customHeight="1">
      <c r="A269" s="182"/>
      <c r="B269" s="205"/>
      <c r="C269" s="205"/>
      <c r="D269" s="205"/>
      <c r="E269" s="205"/>
      <c r="F269" s="205"/>
    </row>
    <row r="270" ht="13.5" customHeight="1">
      <c r="A270" s="182"/>
      <c r="B270" s="205"/>
      <c r="C270" s="205"/>
      <c r="D270" s="205"/>
      <c r="E270" s="205"/>
      <c r="F270" s="205"/>
    </row>
    <row r="271" ht="13.5" customHeight="1">
      <c r="A271" s="182"/>
      <c r="B271" s="205"/>
      <c r="C271" s="205"/>
      <c r="D271" s="205"/>
      <c r="E271" s="205"/>
      <c r="F271" s="205"/>
    </row>
    <row r="272" ht="13.5" customHeight="1">
      <c r="A272" s="182"/>
      <c r="B272" s="205"/>
      <c r="C272" s="205"/>
      <c r="D272" s="205"/>
      <c r="E272" s="205"/>
      <c r="F272" s="205"/>
    </row>
    <row r="273" ht="13.5" customHeight="1">
      <c r="A273" s="182"/>
      <c r="B273" s="205"/>
      <c r="C273" s="205"/>
      <c r="D273" s="205"/>
      <c r="E273" s="205"/>
      <c r="F273" s="205"/>
    </row>
    <row r="274" ht="13.5" customHeight="1">
      <c r="A274" s="182"/>
      <c r="B274" s="205"/>
      <c r="C274" s="205"/>
      <c r="D274" s="205"/>
      <c r="E274" s="205"/>
      <c r="F274" s="205"/>
    </row>
    <row r="275" ht="13.5" customHeight="1">
      <c r="A275" s="182"/>
      <c r="B275" s="205"/>
      <c r="C275" s="205"/>
      <c r="D275" s="205"/>
      <c r="E275" s="205"/>
      <c r="F275" s="205"/>
    </row>
    <row r="276" ht="13.5" customHeight="1">
      <c r="A276" s="182"/>
      <c r="B276" s="205"/>
      <c r="C276" s="205"/>
      <c r="D276" s="205"/>
      <c r="E276" s="205"/>
      <c r="F276" s="205"/>
    </row>
    <row r="277" ht="13.5" customHeight="1">
      <c r="A277" s="182"/>
      <c r="B277" s="205"/>
      <c r="C277" s="205"/>
      <c r="D277" s="205"/>
      <c r="E277" s="205"/>
      <c r="F277" s="205"/>
    </row>
    <row r="278" ht="13.5" customHeight="1">
      <c r="A278" s="182"/>
      <c r="B278" s="205"/>
      <c r="C278" s="205"/>
      <c r="D278" s="205"/>
      <c r="E278" s="205"/>
      <c r="F278" s="205"/>
    </row>
    <row r="279" ht="13.5" customHeight="1">
      <c r="A279" s="182"/>
      <c r="B279" s="205"/>
      <c r="C279" s="205"/>
      <c r="D279" s="205"/>
      <c r="E279" s="205"/>
      <c r="F279" s="205"/>
    </row>
    <row r="280" ht="13.5" customHeight="1">
      <c r="A280" s="182"/>
      <c r="B280" s="205"/>
      <c r="C280" s="205"/>
      <c r="D280" s="205"/>
      <c r="E280" s="205"/>
      <c r="F280" s="205"/>
    </row>
    <row r="281" ht="13.5" customHeight="1">
      <c r="A281" s="182"/>
      <c r="B281" s="205"/>
      <c r="C281" s="205"/>
      <c r="D281" s="205"/>
      <c r="E281" s="205"/>
      <c r="F281" s="205"/>
    </row>
    <row r="282" ht="13.5" customHeight="1">
      <c r="A282" s="182"/>
      <c r="B282" s="205"/>
      <c r="C282" s="205"/>
      <c r="D282" s="205"/>
      <c r="E282" s="205"/>
      <c r="F282" s="205"/>
    </row>
    <row r="283" ht="13.5" customHeight="1">
      <c r="A283" s="182"/>
      <c r="B283" s="205"/>
      <c r="C283" s="205"/>
      <c r="D283" s="205"/>
      <c r="E283" s="205"/>
      <c r="F283" s="205"/>
    </row>
    <row r="284" ht="13.5" customHeight="1">
      <c r="A284" s="182"/>
      <c r="B284" s="205"/>
      <c r="C284" s="205"/>
      <c r="D284" s="205"/>
      <c r="E284" s="205"/>
      <c r="F284" s="205"/>
    </row>
    <row r="285" ht="13.5" customHeight="1">
      <c r="A285" s="182"/>
      <c r="B285" s="205"/>
      <c r="C285" s="205"/>
      <c r="D285" s="205"/>
      <c r="E285" s="205"/>
      <c r="F285" s="205"/>
    </row>
    <row r="286" ht="13.5" customHeight="1">
      <c r="A286" s="182"/>
      <c r="B286" s="205"/>
      <c r="C286" s="205"/>
      <c r="D286" s="205"/>
      <c r="E286" s="205"/>
      <c r="F286" s="205"/>
    </row>
    <row r="287" ht="13.5" customHeight="1">
      <c r="A287" s="182"/>
      <c r="B287" s="205"/>
      <c r="C287" s="205"/>
      <c r="D287" s="205"/>
      <c r="E287" s="205"/>
      <c r="F287" s="205"/>
    </row>
    <row r="288" ht="13.5" customHeight="1">
      <c r="A288" s="182"/>
      <c r="B288" s="205"/>
      <c r="C288" s="205"/>
      <c r="D288" s="205"/>
      <c r="E288" s="205"/>
      <c r="F288" s="205"/>
    </row>
    <row r="289" ht="13.5" customHeight="1">
      <c r="A289" s="182"/>
      <c r="B289" s="205"/>
      <c r="C289" s="205"/>
      <c r="D289" s="205"/>
      <c r="E289" s="205"/>
      <c r="F289" s="205"/>
    </row>
    <row r="290" ht="13.5" customHeight="1">
      <c r="A290" s="182"/>
      <c r="B290" s="205"/>
      <c r="C290" s="205"/>
      <c r="D290" s="205"/>
      <c r="E290" s="205"/>
      <c r="F290" s="205"/>
    </row>
    <row r="291" ht="13.5" customHeight="1">
      <c r="A291" s="182"/>
      <c r="B291" s="205"/>
      <c r="C291" s="205"/>
      <c r="D291" s="205"/>
      <c r="E291" s="205"/>
      <c r="F291" s="205"/>
    </row>
    <row r="292" ht="13.5" customHeight="1">
      <c r="A292" s="182"/>
      <c r="B292" s="205"/>
      <c r="C292" s="205"/>
      <c r="D292" s="205"/>
      <c r="E292" s="205"/>
      <c r="F292" s="205"/>
    </row>
    <row r="293" ht="13.5" customHeight="1">
      <c r="A293" s="182"/>
      <c r="B293" s="205"/>
      <c r="C293" s="205"/>
      <c r="D293" s="205"/>
      <c r="E293" s="205"/>
      <c r="F293" s="205"/>
    </row>
    <row r="294" ht="13.5" customHeight="1">
      <c r="A294" s="182"/>
      <c r="B294" s="205"/>
      <c r="C294" s="205"/>
      <c r="D294" s="205"/>
      <c r="E294" s="205"/>
      <c r="F294" s="205"/>
    </row>
    <row r="295" ht="13.5" customHeight="1">
      <c r="A295" s="182"/>
      <c r="B295" s="205"/>
      <c r="C295" s="205"/>
      <c r="D295" s="205"/>
      <c r="E295" s="205"/>
      <c r="F295" s="205"/>
    </row>
    <row r="296" ht="13.5" customHeight="1">
      <c r="A296" s="182"/>
      <c r="B296" s="205"/>
      <c r="C296" s="205"/>
      <c r="D296" s="205"/>
      <c r="E296" s="205"/>
      <c r="F296" s="205"/>
    </row>
    <row r="297" ht="13.5" customHeight="1">
      <c r="A297" s="182"/>
      <c r="B297" s="205"/>
      <c r="C297" s="205"/>
      <c r="D297" s="205"/>
      <c r="E297" s="205"/>
      <c r="F297" s="205"/>
    </row>
    <row r="298" ht="13.5" customHeight="1">
      <c r="A298" s="182"/>
      <c r="B298" s="205"/>
      <c r="C298" s="205"/>
      <c r="D298" s="205"/>
      <c r="E298" s="205"/>
      <c r="F298" s="205"/>
    </row>
    <row r="299" ht="13.5" customHeight="1">
      <c r="A299" s="182"/>
      <c r="B299" s="205"/>
      <c r="C299" s="205"/>
      <c r="D299" s="205"/>
      <c r="E299" s="205"/>
      <c r="F299" s="205"/>
    </row>
    <row r="300" ht="13.5" customHeight="1">
      <c r="A300" s="182"/>
      <c r="B300" s="205"/>
      <c r="C300" s="205"/>
      <c r="D300" s="205"/>
      <c r="E300" s="205"/>
      <c r="F300" s="205"/>
    </row>
    <row r="301" ht="13.5" customHeight="1">
      <c r="A301" s="182"/>
      <c r="B301" s="205"/>
      <c r="C301" s="205"/>
      <c r="D301" s="205"/>
      <c r="E301" s="205"/>
      <c r="F301" s="205"/>
    </row>
    <row r="302" ht="13.5" customHeight="1">
      <c r="A302" s="182"/>
      <c r="B302" s="205"/>
      <c r="C302" s="205"/>
      <c r="D302" s="205"/>
      <c r="E302" s="205"/>
      <c r="F302" s="205"/>
    </row>
    <row r="303" ht="13.5" customHeight="1">
      <c r="A303" s="182"/>
      <c r="B303" s="205"/>
      <c r="C303" s="205"/>
      <c r="D303" s="205"/>
      <c r="E303" s="205"/>
      <c r="F303" s="205"/>
    </row>
    <row r="304" ht="13.5" customHeight="1">
      <c r="A304" s="182"/>
      <c r="B304" s="205"/>
      <c r="C304" s="205"/>
      <c r="D304" s="205"/>
      <c r="E304" s="205"/>
      <c r="F304" s="205"/>
    </row>
    <row r="305" ht="13.5" customHeight="1">
      <c r="A305" s="182"/>
      <c r="B305" s="205"/>
      <c r="C305" s="205"/>
      <c r="D305" s="205"/>
      <c r="E305" s="205"/>
      <c r="F305" s="205"/>
    </row>
    <row r="306" ht="13.5" customHeight="1">
      <c r="A306" s="182"/>
      <c r="B306" s="205"/>
      <c r="C306" s="205"/>
      <c r="D306" s="205"/>
      <c r="E306" s="205"/>
      <c r="F306" s="205"/>
    </row>
    <row r="307" ht="13.5" customHeight="1">
      <c r="A307" s="182"/>
      <c r="B307" s="205"/>
      <c r="C307" s="205"/>
      <c r="D307" s="205"/>
      <c r="E307" s="205"/>
      <c r="F307" s="205"/>
    </row>
    <row r="308" ht="13.5" customHeight="1">
      <c r="A308" s="182"/>
      <c r="B308" s="205"/>
      <c r="C308" s="205"/>
      <c r="D308" s="205"/>
      <c r="E308" s="205"/>
      <c r="F308" s="205"/>
    </row>
    <row r="309" ht="13.5" customHeight="1">
      <c r="A309" s="182"/>
      <c r="B309" s="205"/>
      <c r="C309" s="205"/>
      <c r="D309" s="205"/>
      <c r="E309" s="205"/>
      <c r="F309" s="205"/>
    </row>
    <row r="310" ht="13.5" customHeight="1">
      <c r="A310" s="182"/>
      <c r="B310" s="205"/>
      <c r="C310" s="205"/>
      <c r="D310" s="205"/>
      <c r="E310" s="205"/>
      <c r="F310" s="205"/>
    </row>
    <row r="311" ht="13.5" customHeight="1">
      <c r="A311" s="182"/>
      <c r="B311" s="205"/>
      <c r="C311" s="205"/>
      <c r="D311" s="205"/>
      <c r="E311" s="205"/>
      <c r="F311" s="205"/>
    </row>
    <row r="312" ht="13.5" customHeight="1">
      <c r="A312" s="182"/>
      <c r="B312" s="205"/>
      <c r="C312" s="205"/>
      <c r="D312" s="205"/>
      <c r="E312" s="205"/>
      <c r="F312" s="205"/>
    </row>
    <row r="313" ht="13.5" customHeight="1">
      <c r="A313" s="182"/>
      <c r="B313" s="205"/>
      <c r="C313" s="205"/>
      <c r="D313" s="205"/>
      <c r="E313" s="205"/>
      <c r="F313" s="205"/>
    </row>
    <row r="314" ht="13.5" customHeight="1">
      <c r="A314" s="182"/>
      <c r="B314" s="205"/>
      <c r="C314" s="205"/>
      <c r="D314" s="205"/>
      <c r="E314" s="205"/>
      <c r="F314" s="205"/>
    </row>
    <row r="315" ht="13.5" customHeight="1">
      <c r="A315" s="182"/>
      <c r="B315" s="205"/>
      <c r="C315" s="205"/>
      <c r="D315" s="205"/>
      <c r="E315" s="205"/>
      <c r="F315" s="205"/>
    </row>
    <row r="316" ht="13.5" customHeight="1">
      <c r="A316" s="182"/>
      <c r="B316" s="205"/>
      <c r="C316" s="205"/>
      <c r="D316" s="205"/>
      <c r="E316" s="205"/>
      <c r="F316" s="205"/>
    </row>
    <row r="317" ht="13.5" customHeight="1">
      <c r="A317" s="182"/>
      <c r="B317" s="205"/>
      <c r="C317" s="205"/>
      <c r="D317" s="205"/>
      <c r="E317" s="205"/>
      <c r="F317" s="205"/>
    </row>
    <row r="318" ht="13.5" customHeight="1">
      <c r="A318" s="182"/>
      <c r="B318" s="205"/>
      <c r="C318" s="205"/>
      <c r="D318" s="205"/>
      <c r="E318" s="205"/>
      <c r="F318" s="205"/>
    </row>
    <row r="319" ht="13.5" customHeight="1">
      <c r="A319" s="182"/>
      <c r="B319" s="205"/>
      <c r="C319" s="205"/>
      <c r="D319" s="205"/>
      <c r="E319" s="205"/>
      <c r="F319" s="205"/>
    </row>
    <row r="320" ht="13.5" customHeight="1">
      <c r="A320" s="182"/>
      <c r="B320" s="205"/>
      <c r="C320" s="205"/>
      <c r="D320" s="205"/>
      <c r="E320" s="205"/>
      <c r="F320" s="205"/>
    </row>
    <row r="321" ht="13.5" customHeight="1">
      <c r="A321" s="182"/>
      <c r="B321" s="205"/>
      <c r="C321" s="205"/>
      <c r="D321" s="205"/>
      <c r="E321" s="205"/>
      <c r="F321" s="205"/>
    </row>
    <row r="322" ht="13.5" customHeight="1">
      <c r="A322" s="182"/>
      <c r="B322" s="205"/>
      <c r="C322" s="205"/>
      <c r="D322" s="205"/>
      <c r="E322" s="205"/>
      <c r="F322" s="205"/>
    </row>
    <row r="323" ht="13.5" customHeight="1">
      <c r="A323" s="182"/>
      <c r="B323" s="205"/>
      <c r="C323" s="205"/>
      <c r="D323" s="205"/>
      <c r="E323" s="205"/>
      <c r="F323" s="205"/>
    </row>
    <row r="324" ht="13.5" customHeight="1">
      <c r="A324" s="182"/>
      <c r="B324" s="205"/>
      <c r="C324" s="205"/>
      <c r="D324" s="205"/>
      <c r="E324" s="205"/>
      <c r="F324" s="205"/>
    </row>
    <row r="325" ht="13.5" customHeight="1">
      <c r="A325" s="182"/>
      <c r="B325" s="205"/>
      <c r="C325" s="205"/>
      <c r="D325" s="205"/>
      <c r="E325" s="205"/>
      <c r="F325" s="205"/>
    </row>
    <row r="326" ht="13.5" customHeight="1">
      <c r="A326" s="182"/>
      <c r="B326" s="205"/>
      <c r="C326" s="205"/>
      <c r="D326" s="205"/>
      <c r="E326" s="205"/>
      <c r="F326" s="205"/>
    </row>
    <row r="327" ht="13.5" customHeight="1">
      <c r="A327" s="182"/>
      <c r="B327" s="205"/>
      <c r="C327" s="205"/>
      <c r="D327" s="205"/>
      <c r="E327" s="205"/>
      <c r="F327" s="205"/>
    </row>
    <row r="328" ht="13.5" customHeight="1">
      <c r="A328" s="182"/>
      <c r="B328" s="205"/>
      <c r="C328" s="205"/>
      <c r="D328" s="205"/>
      <c r="E328" s="205"/>
      <c r="F328" s="205"/>
    </row>
    <row r="329" ht="13.5" customHeight="1">
      <c r="A329" s="182"/>
      <c r="B329" s="205"/>
      <c r="C329" s="205"/>
      <c r="D329" s="205"/>
      <c r="E329" s="205"/>
      <c r="F329" s="205"/>
    </row>
    <row r="330" ht="13.5" customHeight="1">
      <c r="A330" s="182"/>
      <c r="B330" s="205"/>
      <c r="C330" s="205"/>
      <c r="D330" s="205"/>
      <c r="E330" s="205"/>
      <c r="F330" s="205"/>
    </row>
    <row r="331" ht="13.5" customHeight="1">
      <c r="A331" s="182"/>
      <c r="B331" s="205"/>
      <c r="C331" s="205"/>
      <c r="D331" s="205"/>
      <c r="E331" s="205"/>
      <c r="F331" s="205"/>
    </row>
    <row r="332" ht="13.5" customHeight="1">
      <c r="A332" s="182"/>
      <c r="B332" s="205"/>
      <c r="C332" s="205"/>
      <c r="D332" s="205"/>
      <c r="E332" s="205"/>
      <c r="F332" s="205"/>
    </row>
    <row r="333" ht="13.5" customHeight="1">
      <c r="A333" s="182"/>
      <c r="B333" s="205"/>
      <c r="C333" s="205"/>
      <c r="D333" s="205"/>
      <c r="E333" s="205"/>
      <c r="F333" s="205"/>
    </row>
    <row r="334" ht="13.5" customHeight="1">
      <c r="A334" s="182"/>
      <c r="B334" s="205"/>
      <c r="C334" s="205"/>
      <c r="D334" s="205"/>
      <c r="E334" s="205"/>
      <c r="F334" s="205"/>
    </row>
    <row r="335" ht="13.5" customHeight="1">
      <c r="A335" s="182"/>
      <c r="B335" s="205"/>
      <c r="C335" s="205"/>
      <c r="D335" s="205"/>
      <c r="E335" s="205"/>
      <c r="F335" s="205"/>
    </row>
    <row r="336" ht="13.5" customHeight="1">
      <c r="A336" s="182"/>
      <c r="B336" s="205"/>
      <c r="C336" s="205"/>
      <c r="D336" s="205"/>
      <c r="E336" s="205"/>
      <c r="F336" s="205"/>
    </row>
    <row r="337" ht="13.5" customHeight="1">
      <c r="A337" s="182"/>
      <c r="B337" s="205"/>
      <c r="C337" s="205"/>
      <c r="D337" s="205"/>
      <c r="E337" s="205"/>
      <c r="F337" s="205"/>
    </row>
    <row r="338" ht="13.5" customHeight="1">
      <c r="A338" s="182"/>
      <c r="B338" s="205"/>
      <c r="C338" s="205"/>
      <c r="D338" s="205"/>
      <c r="E338" s="205"/>
      <c r="F338" s="205"/>
    </row>
    <row r="339" ht="13.5" customHeight="1">
      <c r="A339" s="182"/>
      <c r="B339" s="205"/>
      <c r="C339" s="205"/>
      <c r="D339" s="205"/>
      <c r="E339" s="205"/>
      <c r="F339" s="205"/>
    </row>
    <row r="340" ht="13.5" customHeight="1">
      <c r="A340" s="182"/>
      <c r="B340" s="205"/>
      <c r="C340" s="205"/>
      <c r="D340" s="205"/>
      <c r="E340" s="205"/>
      <c r="F340" s="205"/>
    </row>
    <row r="341" ht="13.5" customHeight="1">
      <c r="A341" s="182"/>
      <c r="B341" s="205"/>
      <c r="C341" s="205"/>
      <c r="D341" s="205"/>
      <c r="E341" s="205"/>
      <c r="F341" s="205"/>
    </row>
    <row r="342" ht="13.5" customHeight="1">
      <c r="A342" s="182"/>
      <c r="B342" s="205"/>
      <c r="C342" s="205"/>
      <c r="D342" s="205"/>
      <c r="E342" s="205"/>
      <c r="F342" s="205"/>
    </row>
    <row r="343" ht="13.5" customHeight="1">
      <c r="A343" s="182"/>
      <c r="B343" s="205"/>
      <c r="C343" s="205"/>
      <c r="D343" s="205"/>
      <c r="E343" s="205"/>
      <c r="F343" s="205"/>
    </row>
    <row r="344" ht="13.5" customHeight="1">
      <c r="A344" s="182"/>
      <c r="B344" s="205"/>
      <c r="C344" s="205"/>
      <c r="D344" s="205"/>
      <c r="E344" s="205"/>
      <c r="F344" s="205"/>
    </row>
    <row r="345" ht="13.5" customHeight="1">
      <c r="A345" s="182"/>
      <c r="B345" s="205"/>
      <c r="C345" s="205"/>
      <c r="D345" s="205"/>
      <c r="E345" s="205"/>
      <c r="F345" s="205"/>
    </row>
    <row r="346" ht="13.5" customHeight="1">
      <c r="A346" s="182"/>
      <c r="B346" s="205"/>
      <c r="C346" s="205"/>
      <c r="D346" s="205"/>
      <c r="E346" s="205"/>
      <c r="F346" s="205"/>
    </row>
    <row r="347" ht="13.5" customHeight="1">
      <c r="A347" s="182"/>
      <c r="B347" s="205"/>
      <c r="C347" s="205"/>
      <c r="D347" s="205"/>
      <c r="E347" s="205"/>
      <c r="F347" s="205"/>
    </row>
    <row r="348" ht="13.5" customHeight="1">
      <c r="A348" s="182"/>
      <c r="B348" s="205"/>
      <c r="C348" s="205"/>
      <c r="D348" s="205"/>
      <c r="E348" s="205"/>
      <c r="F348" s="205"/>
    </row>
    <row r="349" ht="13.5" customHeight="1">
      <c r="A349" s="182"/>
      <c r="B349" s="205"/>
      <c r="C349" s="205"/>
      <c r="D349" s="205"/>
      <c r="E349" s="205"/>
      <c r="F349" s="205"/>
    </row>
    <row r="350" ht="13.5" customHeight="1">
      <c r="A350" s="182"/>
      <c r="B350" s="205"/>
      <c r="C350" s="205"/>
      <c r="D350" s="205"/>
      <c r="E350" s="205"/>
      <c r="F350" s="205"/>
    </row>
    <row r="351" ht="13.5" customHeight="1">
      <c r="A351" s="182"/>
      <c r="B351" s="205"/>
      <c r="C351" s="205"/>
      <c r="D351" s="205"/>
      <c r="E351" s="205"/>
      <c r="F351" s="205"/>
    </row>
    <row r="352" ht="13.5" customHeight="1">
      <c r="A352" s="182"/>
      <c r="B352" s="205"/>
      <c r="C352" s="205"/>
      <c r="D352" s="205"/>
      <c r="E352" s="205"/>
      <c r="F352" s="205"/>
    </row>
    <row r="353" ht="13.5" customHeight="1">
      <c r="A353" s="182"/>
      <c r="B353" s="205"/>
      <c r="C353" s="205"/>
      <c r="D353" s="205"/>
      <c r="E353" s="205"/>
      <c r="F353" s="205"/>
    </row>
    <row r="354" ht="13.5" customHeight="1">
      <c r="A354" s="182"/>
      <c r="B354" s="205"/>
      <c r="C354" s="205"/>
      <c r="D354" s="205"/>
      <c r="E354" s="205"/>
      <c r="F354" s="205"/>
    </row>
    <row r="355" ht="13.5" customHeight="1">
      <c r="A355" s="182"/>
      <c r="B355" s="205"/>
      <c r="C355" s="205"/>
      <c r="D355" s="205"/>
      <c r="E355" s="205"/>
      <c r="F355" s="205"/>
    </row>
    <row r="356" ht="13.5" customHeight="1">
      <c r="A356" s="182"/>
      <c r="B356" s="205"/>
      <c r="C356" s="205"/>
      <c r="D356" s="205"/>
      <c r="E356" s="205"/>
      <c r="F356" s="205"/>
    </row>
    <row r="357" ht="13.5" customHeight="1">
      <c r="A357" s="182"/>
      <c r="B357" s="205"/>
      <c r="C357" s="205"/>
      <c r="D357" s="205"/>
      <c r="E357" s="205"/>
      <c r="F357" s="205"/>
    </row>
    <row r="358" ht="13.5" customHeight="1">
      <c r="A358" s="182"/>
      <c r="B358" s="205"/>
      <c r="C358" s="205"/>
      <c r="D358" s="205"/>
      <c r="E358" s="205"/>
      <c r="F358" s="205"/>
    </row>
    <row r="359" ht="13.5" customHeight="1">
      <c r="A359" s="182"/>
      <c r="B359" s="205"/>
      <c r="C359" s="205"/>
      <c r="D359" s="205"/>
      <c r="E359" s="205"/>
      <c r="F359" s="205"/>
    </row>
    <row r="360" ht="13.5" customHeight="1">
      <c r="A360" s="182"/>
      <c r="B360" s="205"/>
      <c r="C360" s="205"/>
      <c r="D360" s="205"/>
      <c r="E360" s="205"/>
      <c r="F360" s="205"/>
    </row>
    <row r="361" ht="13.5" customHeight="1">
      <c r="A361" s="182"/>
      <c r="B361" s="205"/>
      <c r="C361" s="205"/>
      <c r="D361" s="205"/>
      <c r="E361" s="205"/>
      <c r="F361" s="205"/>
    </row>
    <row r="362" ht="13.5" customHeight="1">
      <c r="A362" s="182"/>
      <c r="B362" s="205"/>
      <c r="C362" s="205"/>
      <c r="D362" s="205"/>
      <c r="E362" s="205"/>
      <c r="F362" s="205"/>
    </row>
    <row r="363" ht="13.5" customHeight="1">
      <c r="A363" s="182"/>
      <c r="B363" s="205"/>
      <c r="C363" s="205"/>
      <c r="D363" s="205"/>
      <c r="E363" s="205"/>
      <c r="F363" s="205"/>
    </row>
    <row r="364" ht="13.5" customHeight="1">
      <c r="A364" s="182"/>
      <c r="B364" s="205"/>
      <c r="C364" s="205"/>
      <c r="D364" s="205"/>
      <c r="E364" s="205"/>
      <c r="F364" s="205"/>
    </row>
    <row r="365" ht="13.5" customHeight="1">
      <c r="A365" s="182"/>
      <c r="B365" s="205"/>
      <c r="C365" s="205"/>
      <c r="D365" s="205"/>
      <c r="E365" s="205"/>
      <c r="F365" s="205"/>
    </row>
    <row r="366" ht="13.5" customHeight="1">
      <c r="A366" s="182"/>
      <c r="B366" s="205"/>
      <c r="C366" s="205"/>
      <c r="D366" s="205"/>
      <c r="E366" s="205"/>
      <c r="F366" s="205"/>
    </row>
    <row r="367" ht="13.5" customHeight="1">
      <c r="A367" s="182"/>
      <c r="B367" s="205"/>
      <c r="C367" s="205"/>
      <c r="D367" s="205"/>
      <c r="E367" s="205"/>
      <c r="F367" s="205"/>
    </row>
    <row r="368" ht="13.5" customHeight="1">
      <c r="A368" s="182"/>
      <c r="B368" s="205"/>
      <c r="C368" s="205"/>
      <c r="D368" s="205"/>
      <c r="E368" s="205"/>
      <c r="F368" s="205"/>
    </row>
    <row r="369" ht="13.5" customHeight="1">
      <c r="A369" s="182"/>
      <c r="B369" s="205"/>
      <c r="C369" s="205"/>
      <c r="D369" s="205"/>
      <c r="E369" s="205"/>
      <c r="F369" s="205"/>
    </row>
    <row r="370" ht="13.5" customHeight="1">
      <c r="A370" s="182"/>
      <c r="B370" s="205"/>
      <c r="C370" s="205"/>
      <c r="D370" s="205"/>
      <c r="E370" s="205"/>
      <c r="F370" s="205"/>
    </row>
    <row r="371" ht="13.5" customHeight="1">
      <c r="A371" s="182"/>
      <c r="B371" s="205"/>
      <c r="C371" s="205"/>
      <c r="D371" s="205"/>
      <c r="E371" s="205"/>
      <c r="F371" s="205"/>
    </row>
    <row r="372" ht="13.5" customHeight="1">
      <c r="A372" s="182"/>
      <c r="B372" s="205"/>
      <c r="C372" s="205"/>
      <c r="D372" s="205"/>
      <c r="E372" s="205"/>
      <c r="F372" s="205"/>
    </row>
    <row r="373" ht="13.5" customHeight="1">
      <c r="A373" s="182"/>
      <c r="B373" s="205"/>
      <c r="C373" s="205"/>
      <c r="D373" s="205"/>
      <c r="E373" s="205"/>
      <c r="F373" s="205"/>
    </row>
    <row r="374" ht="13.5" customHeight="1">
      <c r="A374" s="182"/>
      <c r="B374" s="205"/>
      <c r="C374" s="205"/>
      <c r="D374" s="205"/>
      <c r="E374" s="205"/>
      <c r="F374" s="205"/>
    </row>
    <row r="375" ht="13.5" customHeight="1">
      <c r="A375" s="182"/>
      <c r="B375" s="205"/>
      <c r="C375" s="205"/>
      <c r="D375" s="205"/>
      <c r="E375" s="205"/>
      <c r="F375" s="205"/>
    </row>
    <row r="376" ht="13.5" customHeight="1">
      <c r="A376" s="182"/>
      <c r="B376" s="205"/>
      <c r="C376" s="205"/>
      <c r="D376" s="205"/>
      <c r="E376" s="205"/>
      <c r="F376" s="205"/>
    </row>
    <row r="377" ht="13.5" customHeight="1">
      <c r="A377" s="182"/>
      <c r="B377" s="205"/>
      <c r="C377" s="205"/>
      <c r="D377" s="205"/>
      <c r="E377" s="205"/>
      <c r="F377" s="205"/>
    </row>
    <row r="378" ht="13.5" customHeight="1">
      <c r="A378" s="182"/>
      <c r="B378" s="205"/>
      <c r="C378" s="205"/>
      <c r="D378" s="205"/>
      <c r="E378" s="205"/>
      <c r="F378" s="205"/>
    </row>
    <row r="379" ht="13.5" customHeight="1">
      <c r="A379" s="182"/>
      <c r="B379" s="205"/>
      <c r="C379" s="205"/>
      <c r="D379" s="205"/>
      <c r="E379" s="205"/>
      <c r="F379" s="205"/>
    </row>
    <row r="380" ht="13.5" customHeight="1">
      <c r="A380" s="182"/>
      <c r="B380" s="205"/>
      <c r="C380" s="205"/>
      <c r="D380" s="205"/>
      <c r="E380" s="205"/>
      <c r="F380" s="205"/>
    </row>
    <row r="381" ht="13.5" customHeight="1">
      <c r="A381" s="182"/>
      <c r="B381" s="205"/>
      <c r="C381" s="205"/>
      <c r="D381" s="205"/>
      <c r="E381" s="205"/>
      <c r="F381" s="205"/>
    </row>
    <row r="382" ht="13.5" customHeight="1">
      <c r="A382" s="182"/>
      <c r="B382" s="205"/>
      <c r="C382" s="205"/>
      <c r="D382" s="205"/>
      <c r="E382" s="205"/>
      <c r="F382" s="205"/>
    </row>
    <row r="383" ht="13.5" customHeight="1">
      <c r="A383" s="182"/>
      <c r="B383" s="205"/>
      <c r="C383" s="205"/>
      <c r="D383" s="205"/>
      <c r="E383" s="205"/>
      <c r="F383" s="205"/>
    </row>
    <row r="384" ht="13.5" customHeight="1">
      <c r="A384" s="182"/>
      <c r="B384" s="205"/>
      <c r="C384" s="205"/>
      <c r="D384" s="205"/>
      <c r="E384" s="205"/>
      <c r="F384" s="205"/>
    </row>
    <row r="385" ht="13.5" customHeight="1">
      <c r="A385" s="182"/>
      <c r="B385" s="205"/>
      <c r="C385" s="205"/>
      <c r="D385" s="205"/>
      <c r="E385" s="205"/>
      <c r="F385" s="205"/>
    </row>
    <row r="386" ht="13.5" customHeight="1">
      <c r="A386" s="182"/>
      <c r="B386" s="205"/>
      <c r="C386" s="205"/>
      <c r="D386" s="205"/>
      <c r="E386" s="205"/>
      <c r="F386" s="205"/>
    </row>
    <row r="387" ht="13.5" customHeight="1">
      <c r="A387" s="182"/>
      <c r="B387" s="205"/>
      <c r="C387" s="205"/>
      <c r="D387" s="205"/>
      <c r="E387" s="205"/>
      <c r="F387" s="205"/>
    </row>
    <row r="388" ht="13.5" customHeight="1">
      <c r="A388" s="182"/>
      <c r="B388" s="205"/>
      <c r="C388" s="205"/>
      <c r="D388" s="205"/>
      <c r="E388" s="205"/>
      <c r="F388" s="205"/>
    </row>
    <row r="389" ht="13.5" customHeight="1">
      <c r="A389" s="182"/>
      <c r="B389" s="205"/>
      <c r="C389" s="205"/>
      <c r="D389" s="205"/>
      <c r="E389" s="205"/>
      <c r="F389" s="205"/>
    </row>
    <row r="390" ht="13.5" customHeight="1">
      <c r="A390" s="182"/>
      <c r="B390" s="205"/>
      <c r="C390" s="205"/>
      <c r="D390" s="205"/>
      <c r="E390" s="205"/>
      <c r="F390" s="205"/>
    </row>
    <row r="391" ht="13.5" customHeight="1">
      <c r="A391" s="182"/>
      <c r="B391" s="205"/>
      <c r="C391" s="205"/>
      <c r="D391" s="205"/>
      <c r="E391" s="205"/>
      <c r="F391" s="205"/>
    </row>
    <row r="392" ht="13.5" customHeight="1">
      <c r="A392" s="182"/>
      <c r="B392" s="205"/>
      <c r="C392" s="205"/>
      <c r="D392" s="205"/>
      <c r="E392" s="205"/>
      <c r="F392" s="205"/>
    </row>
    <row r="393" ht="13.5" customHeight="1">
      <c r="A393" s="182"/>
      <c r="B393" s="205"/>
      <c r="C393" s="205"/>
      <c r="D393" s="205"/>
      <c r="E393" s="205"/>
      <c r="F393" s="205"/>
    </row>
    <row r="394" ht="13.5" customHeight="1">
      <c r="A394" s="182"/>
      <c r="B394" s="205"/>
      <c r="C394" s="205"/>
      <c r="D394" s="205"/>
      <c r="E394" s="205"/>
      <c r="F394" s="205"/>
    </row>
    <row r="395" ht="13.5" customHeight="1">
      <c r="A395" s="182"/>
      <c r="B395" s="205"/>
      <c r="C395" s="205"/>
      <c r="D395" s="205"/>
      <c r="E395" s="205"/>
      <c r="F395" s="205"/>
    </row>
    <row r="396" ht="13.5" customHeight="1">
      <c r="A396" s="182"/>
      <c r="B396" s="205"/>
      <c r="C396" s="205"/>
      <c r="D396" s="205"/>
      <c r="E396" s="205"/>
      <c r="F396" s="205"/>
    </row>
    <row r="397" ht="13.5" customHeight="1">
      <c r="A397" s="182"/>
      <c r="B397" s="205"/>
      <c r="C397" s="205"/>
      <c r="D397" s="205"/>
      <c r="E397" s="205"/>
      <c r="F397" s="205"/>
    </row>
    <row r="398" ht="13.5" customHeight="1">
      <c r="A398" s="182"/>
      <c r="B398" s="205"/>
      <c r="C398" s="205"/>
      <c r="D398" s="205"/>
      <c r="E398" s="205"/>
      <c r="F398" s="205"/>
    </row>
    <row r="399" ht="13.5" customHeight="1">
      <c r="A399" s="182"/>
      <c r="B399" s="205"/>
      <c r="C399" s="205"/>
      <c r="D399" s="205"/>
      <c r="E399" s="205"/>
      <c r="F399" s="205"/>
    </row>
    <row r="400" ht="13.5" customHeight="1">
      <c r="A400" s="182"/>
      <c r="B400" s="205"/>
      <c r="C400" s="205"/>
      <c r="D400" s="205"/>
      <c r="E400" s="205"/>
      <c r="F400" s="205"/>
    </row>
    <row r="401" ht="13.5" customHeight="1">
      <c r="A401" s="182"/>
      <c r="B401" s="205"/>
      <c r="C401" s="205"/>
      <c r="D401" s="205"/>
      <c r="E401" s="205"/>
      <c r="F401" s="205"/>
    </row>
    <row r="402" ht="13.5" customHeight="1">
      <c r="A402" s="182"/>
      <c r="B402" s="205"/>
      <c r="C402" s="205"/>
      <c r="D402" s="205"/>
      <c r="E402" s="205"/>
      <c r="F402" s="205"/>
    </row>
    <row r="403" ht="13.5" customHeight="1">
      <c r="A403" s="182"/>
      <c r="B403" s="205"/>
      <c r="C403" s="205"/>
      <c r="D403" s="205"/>
      <c r="E403" s="205"/>
      <c r="F403" s="205"/>
    </row>
    <row r="404" ht="13.5" customHeight="1">
      <c r="A404" s="182"/>
      <c r="B404" s="205"/>
      <c r="C404" s="205"/>
      <c r="D404" s="205"/>
      <c r="E404" s="205"/>
      <c r="F404" s="205"/>
    </row>
    <row r="405" ht="13.5" customHeight="1">
      <c r="A405" s="182"/>
      <c r="B405" s="205"/>
      <c r="C405" s="205"/>
      <c r="D405" s="205"/>
      <c r="E405" s="205"/>
      <c r="F405" s="205"/>
    </row>
    <row r="406" ht="13.5" customHeight="1">
      <c r="A406" s="182"/>
      <c r="B406" s="205"/>
      <c r="C406" s="205"/>
      <c r="D406" s="205"/>
      <c r="E406" s="205"/>
      <c r="F406" s="205"/>
    </row>
    <row r="407" ht="13.5" customHeight="1">
      <c r="A407" s="182"/>
      <c r="B407" s="205"/>
      <c r="C407" s="205"/>
      <c r="D407" s="205"/>
      <c r="E407" s="205"/>
      <c r="F407" s="205"/>
    </row>
    <row r="408" ht="13.5" customHeight="1">
      <c r="A408" s="182"/>
      <c r="B408" s="205"/>
      <c r="C408" s="205"/>
      <c r="D408" s="205"/>
      <c r="E408" s="205"/>
      <c r="F408" s="205"/>
    </row>
    <row r="409" ht="13.5" customHeight="1">
      <c r="A409" s="182"/>
      <c r="B409" s="205"/>
      <c r="C409" s="205"/>
      <c r="D409" s="205"/>
      <c r="E409" s="205"/>
      <c r="F409" s="205"/>
    </row>
    <row r="410" ht="13.5" customHeight="1">
      <c r="A410" s="182"/>
      <c r="B410" s="205"/>
      <c r="C410" s="205"/>
      <c r="D410" s="205"/>
      <c r="E410" s="205"/>
      <c r="F410" s="205"/>
    </row>
    <row r="411" ht="13.5" customHeight="1">
      <c r="A411" s="182"/>
      <c r="B411" s="205"/>
      <c r="C411" s="205"/>
      <c r="D411" s="205"/>
      <c r="E411" s="205"/>
      <c r="F411" s="205"/>
    </row>
    <row r="412" ht="13.5" customHeight="1">
      <c r="A412" s="182"/>
      <c r="B412" s="205"/>
      <c r="C412" s="205"/>
      <c r="D412" s="205"/>
      <c r="E412" s="205"/>
      <c r="F412" s="205"/>
    </row>
    <row r="413" ht="13.5" customHeight="1">
      <c r="A413" s="182"/>
      <c r="B413" s="205"/>
      <c r="C413" s="205"/>
      <c r="D413" s="205"/>
      <c r="E413" s="205"/>
      <c r="F413" s="205"/>
    </row>
    <row r="414" ht="13.5" customHeight="1">
      <c r="A414" s="182"/>
      <c r="B414" s="205"/>
      <c r="C414" s="205"/>
      <c r="D414" s="205"/>
      <c r="E414" s="205"/>
      <c r="F414" s="205"/>
    </row>
    <row r="415" ht="13.5" customHeight="1">
      <c r="A415" s="182"/>
      <c r="B415" s="205"/>
      <c r="C415" s="205"/>
      <c r="D415" s="205"/>
      <c r="E415" s="205"/>
      <c r="F415" s="205"/>
    </row>
    <row r="416" ht="13.5" customHeight="1">
      <c r="A416" s="182"/>
      <c r="B416" s="205"/>
      <c r="C416" s="205"/>
      <c r="D416" s="205"/>
      <c r="E416" s="205"/>
      <c r="F416" s="205"/>
    </row>
    <row r="417" ht="13.5" customHeight="1">
      <c r="A417" s="182"/>
      <c r="B417" s="205"/>
      <c r="C417" s="205"/>
      <c r="D417" s="205"/>
      <c r="E417" s="205"/>
      <c r="F417" s="205"/>
    </row>
    <row r="418" ht="13.5" customHeight="1">
      <c r="A418" s="182"/>
      <c r="B418" s="205"/>
      <c r="C418" s="205"/>
      <c r="D418" s="205"/>
      <c r="E418" s="205"/>
      <c r="F418" s="205"/>
    </row>
    <row r="419" ht="13.5" customHeight="1">
      <c r="A419" s="182"/>
      <c r="B419" s="205"/>
      <c r="C419" s="205"/>
      <c r="D419" s="205"/>
      <c r="E419" s="205"/>
      <c r="F419" s="205"/>
    </row>
    <row r="420" ht="13.5" customHeight="1">
      <c r="A420" s="182"/>
      <c r="B420" s="205"/>
      <c r="C420" s="205"/>
      <c r="D420" s="205"/>
      <c r="E420" s="205"/>
      <c r="F420" s="205"/>
    </row>
    <row r="421" ht="13.5" customHeight="1">
      <c r="A421" s="182"/>
      <c r="B421" s="205"/>
      <c r="C421" s="205"/>
      <c r="D421" s="205"/>
      <c r="E421" s="205"/>
      <c r="F421" s="205"/>
    </row>
    <row r="422" ht="13.5" customHeight="1">
      <c r="A422" s="182"/>
      <c r="B422" s="205"/>
      <c r="C422" s="205"/>
      <c r="D422" s="205"/>
      <c r="E422" s="205"/>
      <c r="F422" s="205"/>
    </row>
    <row r="423" ht="13.5" customHeight="1">
      <c r="A423" s="182"/>
      <c r="B423" s="205"/>
      <c r="C423" s="205"/>
      <c r="D423" s="205"/>
      <c r="E423" s="205"/>
      <c r="F423" s="205"/>
    </row>
    <row r="424" ht="13.5" customHeight="1">
      <c r="A424" s="182"/>
      <c r="B424" s="205"/>
      <c r="C424" s="205"/>
      <c r="D424" s="205"/>
      <c r="E424" s="205"/>
      <c r="F424" s="205"/>
    </row>
    <row r="425" ht="13.5" customHeight="1">
      <c r="A425" s="182"/>
      <c r="B425" s="205"/>
      <c r="C425" s="205"/>
      <c r="D425" s="205"/>
      <c r="E425" s="205"/>
      <c r="F425" s="205"/>
    </row>
    <row r="426" ht="13.5" customHeight="1">
      <c r="A426" s="182"/>
      <c r="B426" s="205"/>
      <c r="C426" s="205"/>
      <c r="D426" s="205"/>
      <c r="E426" s="205"/>
      <c r="F426" s="205"/>
    </row>
    <row r="427" ht="13.5" customHeight="1">
      <c r="A427" s="182"/>
      <c r="B427" s="205"/>
      <c r="C427" s="205"/>
      <c r="D427" s="205"/>
      <c r="E427" s="205"/>
      <c r="F427" s="205"/>
    </row>
    <row r="428" ht="13.5" customHeight="1">
      <c r="A428" s="182"/>
      <c r="B428" s="205"/>
      <c r="C428" s="205"/>
      <c r="D428" s="205"/>
      <c r="E428" s="205"/>
      <c r="F428" s="205"/>
    </row>
    <row r="429" ht="13.5" customHeight="1">
      <c r="A429" s="182"/>
      <c r="B429" s="205"/>
      <c r="C429" s="205"/>
      <c r="D429" s="205"/>
      <c r="E429" s="205"/>
      <c r="F429" s="205"/>
    </row>
    <row r="430" ht="13.5" customHeight="1">
      <c r="A430" s="182"/>
      <c r="B430" s="205"/>
      <c r="C430" s="205"/>
      <c r="D430" s="205"/>
      <c r="E430" s="205"/>
      <c r="F430" s="205"/>
    </row>
    <row r="431" ht="13.5" customHeight="1">
      <c r="A431" s="182"/>
      <c r="B431" s="205"/>
      <c r="C431" s="205"/>
      <c r="D431" s="205"/>
      <c r="E431" s="205"/>
      <c r="F431" s="205"/>
    </row>
    <row r="432" ht="13.5" customHeight="1">
      <c r="A432" s="182"/>
      <c r="B432" s="205"/>
      <c r="C432" s="205"/>
      <c r="D432" s="205"/>
      <c r="E432" s="205"/>
      <c r="F432" s="205"/>
    </row>
    <row r="433" ht="13.5" customHeight="1">
      <c r="A433" s="182"/>
      <c r="B433" s="205"/>
      <c r="C433" s="205"/>
      <c r="D433" s="205"/>
      <c r="E433" s="205"/>
      <c r="F433" s="205"/>
    </row>
    <row r="434" ht="13.5" customHeight="1">
      <c r="A434" s="182"/>
      <c r="B434" s="205"/>
      <c r="C434" s="205"/>
      <c r="D434" s="205"/>
      <c r="E434" s="205"/>
      <c r="F434" s="205"/>
    </row>
    <row r="435" ht="13.5" customHeight="1">
      <c r="A435" s="182"/>
      <c r="B435" s="205"/>
      <c r="C435" s="205"/>
      <c r="D435" s="205"/>
      <c r="E435" s="205"/>
      <c r="F435" s="205"/>
    </row>
    <row r="436" ht="13.5" customHeight="1">
      <c r="A436" s="182"/>
      <c r="B436" s="205"/>
      <c r="C436" s="205"/>
      <c r="D436" s="205"/>
      <c r="E436" s="205"/>
      <c r="F436" s="205"/>
    </row>
    <row r="437" ht="13.5" customHeight="1">
      <c r="A437" s="182"/>
      <c r="B437" s="205"/>
      <c r="C437" s="205"/>
      <c r="D437" s="205"/>
      <c r="E437" s="205"/>
      <c r="F437" s="205"/>
    </row>
    <row r="438" ht="13.5" customHeight="1">
      <c r="A438" s="182"/>
      <c r="B438" s="205"/>
      <c r="C438" s="205"/>
      <c r="D438" s="205"/>
      <c r="E438" s="205"/>
      <c r="F438" s="205"/>
    </row>
    <row r="439" ht="13.5" customHeight="1">
      <c r="A439" s="182"/>
      <c r="B439" s="205"/>
      <c r="C439" s="205"/>
      <c r="D439" s="205"/>
      <c r="E439" s="205"/>
      <c r="F439" s="205"/>
    </row>
    <row r="440" ht="13.5" customHeight="1">
      <c r="A440" s="182"/>
      <c r="B440" s="205"/>
      <c r="C440" s="205"/>
      <c r="D440" s="205"/>
      <c r="E440" s="205"/>
      <c r="F440" s="205"/>
    </row>
    <row r="441" ht="13.5" customHeight="1">
      <c r="A441" s="182"/>
      <c r="B441" s="205"/>
      <c r="C441" s="205"/>
      <c r="D441" s="205"/>
      <c r="E441" s="205"/>
      <c r="F441" s="205"/>
    </row>
    <row r="442" ht="13.5" customHeight="1">
      <c r="A442" s="182"/>
      <c r="B442" s="205"/>
      <c r="C442" s="205"/>
      <c r="D442" s="205"/>
      <c r="E442" s="205"/>
      <c r="F442" s="205"/>
    </row>
    <row r="443" ht="13.5" customHeight="1">
      <c r="A443" s="182"/>
      <c r="B443" s="205"/>
      <c r="C443" s="205"/>
      <c r="D443" s="205"/>
      <c r="E443" s="205"/>
      <c r="F443" s="205"/>
    </row>
    <row r="444" ht="13.5" customHeight="1">
      <c r="A444" s="182"/>
      <c r="B444" s="205"/>
      <c r="C444" s="205"/>
      <c r="D444" s="205"/>
      <c r="E444" s="205"/>
      <c r="F444" s="205"/>
    </row>
    <row r="445" ht="13.5" customHeight="1">
      <c r="A445" s="182"/>
      <c r="B445" s="205"/>
      <c r="C445" s="205"/>
      <c r="D445" s="205"/>
      <c r="E445" s="205"/>
      <c r="F445" s="205"/>
    </row>
    <row r="446" ht="13.5" customHeight="1">
      <c r="A446" s="182"/>
      <c r="B446" s="205"/>
      <c r="C446" s="205"/>
      <c r="D446" s="205"/>
      <c r="E446" s="205"/>
      <c r="F446" s="205"/>
    </row>
    <row r="447" ht="13.5" customHeight="1">
      <c r="A447" s="182"/>
      <c r="B447" s="205"/>
      <c r="C447" s="205"/>
      <c r="D447" s="205"/>
      <c r="E447" s="205"/>
      <c r="F447" s="205"/>
    </row>
    <row r="448" ht="13.5" customHeight="1">
      <c r="A448" s="182"/>
      <c r="B448" s="205"/>
      <c r="C448" s="205"/>
      <c r="D448" s="205"/>
      <c r="E448" s="205"/>
      <c r="F448" s="205"/>
    </row>
    <row r="449" ht="13.5" customHeight="1">
      <c r="A449" s="182"/>
      <c r="B449" s="205"/>
      <c r="C449" s="205"/>
      <c r="D449" s="205"/>
      <c r="E449" s="205"/>
      <c r="F449" s="205"/>
    </row>
    <row r="450" ht="13.5" customHeight="1">
      <c r="A450" s="182"/>
      <c r="B450" s="205"/>
      <c r="C450" s="205"/>
      <c r="D450" s="205"/>
      <c r="E450" s="205"/>
      <c r="F450" s="205"/>
    </row>
    <row r="451" ht="13.5" customHeight="1">
      <c r="A451" s="182"/>
      <c r="B451" s="205"/>
      <c r="C451" s="205"/>
      <c r="D451" s="205"/>
      <c r="E451" s="205"/>
      <c r="F451" s="205"/>
    </row>
    <row r="452" ht="13.5" customHeight="1">
      <c r="A452" s="182"/>
      <c r="B452" s="205"/>
      <c r="C452" s="205"/>
      <c r="D452" s="205"/>
      <c r="E452" s="205"/>
      <c r="F452" s="205"/>
    </row>
    <row r="453" ht="13.5" customHeight="1">
      <c r="A453" s="182"/>
      <c r="B453" s="205"/>
      <c r="C453" s="205"/>
      <c r="D453" s="205"/>
      <c r="E453" s="205"/>
      <c r="F453" s="205"/>
    </row>
    <row r="454" ht="13.5" customHeight="1">
      <c r="A454" s="182"/>
      <c r="B454" s="205"/>
      <c r="C454" s="205"/>
      <c r="D454" s="205"/>
      <c r="E454" s="205"/>
      <c r="F454" s="205"/>
    </row>
    <row r="455" ht="13.5" customHeight="1">
      <c r="A455" s="182"/>
      <c r="B455" s="205"/>
      <c r="C455" s="205"/>
      <c r="D455" s="205"/>
      <c r="E455" s="205"/>
      <c r="F455" s="205"/>
    </row>
    <row r="456" ht="13.5" customHeight="1">
      <c r="A456" s="182"/>
      <c r="B456" s="205"/>
      <c r="C456" s="205"/>
      <c r="D456" s="205"/>
      <c r="E456" s="205"/>
      <c r="F456" s="205"/>
    </row>
    <row r="457" ht="13.5" customHeight="1">
      <c r="A457" s="182"/>
      <c r="B457" s="205"/>
      <c r="C457" s="205"/>
      <c r="D457" s="205"/>
      <c r="E457" s="205"/>
      <c r="F457" s="205"/>
    </row>
    <row r="458" ht="13.5" customHeight="1">
      <c r="A458" s="182"/>
      <c r="B458" s="205"/>
      <c r="C458" s="205"/>
      <c r="D458" s="205"/>
      <c r="E458" s="205"/>
      <c r="F458" s="205"/>
    </row>
    <row r="459" ht="13.5" customHeight="1">
      <c r="A459" s="182"/>
      <c r="B459" s="205"/>
      <c r="C459" s="205"/>
      <c r="D459" s="205"/>
      <c r="E459" s="205"/>
      <c r="F459" s="205"/>
    </row>
    <row r="460" ht="13.5" customHeight="1">
      <c r="A460" s="182"/>
      <c r="B460" s="205"/>
      <c r="C460" s="205"/>
      <c r="D460" s="205"/>
      <c r="E460" s="205"/>
      <c r="F460" s="205"/>
    </row>
    <row r="461" ht="13.5" customHeight="1">
      <c r="A461" s="182"/>
      <c r="B461" s="205"/>
      <c r="C461" s="205"/>
      <c r="D461" s="205"/>
      <c r="E461" s="205"/>
      <c r="F461" s="205"/>
    </row>
    <row r="462" ht="13.5" customHeight="1">
      <c r="A462" s="182"/>
      <c r="B462" s="205"/>
      <c r="C462" s="205"/>
      <c r="D462" s="205"/>
      <c r="E462" s="205"/>
      <c r="F462" s="205"/>
    </row>
    <row r="463" ht="13.5" customHeight="1">
      <c r="A463" s="182"/>
      <c r="B463" s="205"/>
      <c r="C463" s="205"/>
      <c r="D463" s="205"/>
      <c r="E463" s="205"/>
      <c r="F463" s="205"/>
    </row>
    <row r="464" ht="13.5" customHeight="1">
      <c r="A464" s="182"/>
      <c r="B464" s="205"/>
      <c r="C464" s="205"/>
      <c r="D464" s="205"/>
      <c r="E464" s="205"/>
      <c r="F464" s="205"/>
    </row>
    <row r="465" ht="13.5" customHeight="1">
      <c r="A465" s="182"/>
      <c r="B465" s="205"/>
      <c r="C465" s="205"/>
      <c r="D465" s="205"/>
      <c r="E465" s="205"/>
      <c r="F465" s="205"/>
    </row>
    <row r="466" ht="13.5" customHeight="1">
      <c r="A466" s="182"/>
      <c r="B466" s="205"/>
      <c r="C466" s="205"/>
      <c r="D466" s="205"/>
      <c r="E466" s="205"/>
      <c r="F466" s="205"/>
    </row>
    <row r="467" ht="13.5" customHeight="1">
      <c r="A467" s="182"/>
      <c r="B467" s="205"/>
      <c r="C467" s="205"/>
      <c r="D467" s="205"/>
      <c r="E467" s="205"/>
      <c r="F467" s="205"/>
    </row>
    <row r="468" ht="13.5" customHeight="1">
      <c r="A468" s="182"/>
      <c r="B468" s="205"/>
      <c r="C468" s="205"/>
      <c r="D468" s="205"/>
      <c r="E468" s="205"/>
      <c r="F468" s="205"/>
    </row>
    <row r="469" ht="13.5" customHeight="1">
      <c r="A469" s="182"/>
      <c r="B469" s="205"/>
      <c r="C469" s="205"/>
      <c r="D469" s="205"/>
      <c r="E469" s="205"/>
      <c r="F469" s="205"/>
    </row>
    <row r="470" ht="13.5" customHeight="1">
      <c r="A470" s="182"/>
      <c r="B470" s="205"/>
      <c r="C470" s="205"/>
      <c r="D470" s="205"/>
      <c r="E470" s="205"/>
      <c r="F470" s="205"/>
    </row>
    <row r="471" ht="13.5" customHeight="1">
      <c r="A471" s="182"/>
      <c r="B471" s="205"/>
      <c r="C471" s="205"/>
      <c r="D471" s="205"/>
      <c r="E471" s="205"/>
      <c r="F471" s="205"/>
    </row>
    <row r="472" ht="13.5" customHeight="1">
      <c r="A472" s="182"/>
      <c r="B472" s="205"/>
      <c r="C472" s="205"/>
      <c r="D472" s="205"/>
      <c r="E472" s="205"/>
      <c r="F472" s="205"/>
    </row>
    <row r="473" ht="13.5" customHeight="1">
      <c r="A473" s="182"/>
      <c r="B473" s="205"/>
      <c r="C473" s="205"/>
      <c r="D473" s="205"/>
      <c r="E473" s="205"/>
      <c r="F473" s="205"/>
    </row>
    <row r="474" ht="13.5" customHeight="1">
      <c r="A474" s="182"/>
      <c r="B474" s="205"/>
      <c r="C474" s="205"/>
      <c r="D474" s="205"/>
      <c r="E474" s="205"/>
      <c r="F474" s="205"/>
    </row>
    <row r="475" ht="13.5" customHeight="1">
      <c r="A475" s="182"/>
      <c r="B475" s="205"/>
      <c r="C475" s="205"/>
      <c r="D475" s="205"/>
      <c r="E475" s="205"/>
      <c r="F475" s="205"/>
    </row>
    <row r="476" ht="13.5" customHeight="1">
      <c r="A476" s="182"/>
      <c r="B476" s="205"/>
      <c r="C476" s="205"/>
      <c r="D476" s="205"/>
      <c r="E476" s="205"/>
      <c r="F476" s="205"/>
    </row>
    <row r="477" ht="13.5" customHeight="1">
      <c r="A477" s="182"/>
      <c r="B477" s="205"/>
      <c r="C477" s="205"/>
      <c r="D477" s="205"/>
      <c r="E477" s="205"/>
      <c r="F477" s="205"/>
    </row>
    <row r="478" ht="13.5" customHeight="1">
      <c r="A478" s="182"/>
      <c r="B478" s="205"/>
      <c r="C478" s="205"/>
      <c r="D478" s="205"/>
      <c r="E478" s="205"/>
      <c r="F478" s="205"/>
    </row>
    <row r="479" ht="13.5" customHeight="1">
      <c r="A479" s="182"/>
      <c r="B479" s="205"/>
      <c r="C479" s="205"/>
      <c r="D479" s="205"/>
      <c r="E479" s="205"/>
      <c r="F479" s="205"/>
    </row>
    <row r="480" ht="13.5" customHeight="1">
      <c r="A480" s="182"/>
      <c r="B480" s="205"/>
      <c r="C480" s="205"/>
      <c r="D480" s="205"/>
      <c r="E480" s="205"/>
      <c r="F480" s="205"/>
    </row>
    <row r="481" ht="13.5" customHeight="1">
      <c r="A481" s="182"/>
      <c r="B481" s="205"/>
      <c r="C481" s="205"/>
      <c r="D481" s="205"/>
      <c r="E481" s="205"/>
      <c r="F481" s="205"/>
    </row>
    <row r="482" ht="13.5" customHeight="1">
      <c r="A482" s="182"/>
      <c r="B482" s="205"/>
      <c r="C482" s="205"/>
      <c r="D482" s="205"/>
      <c r="E482" s="205"/>
      <c r="F482" s="205"/>
    </row>
    <row r="483" ht="13.5" customHeight="1">
      <c r="A483" s="182"/>
      <c r="B483" s="205"/>
      <c r="C483" s="205"/>
      <c r="D483" s="205"/>
      <c r="E483" s="205"/>
      <c r="F483" s="205"/>
    </row>
    <row r="484" ht="13.5" customHeight="1">
      <c r="A484" s="182"/>
      <c r="B484" s="205"/>
      <c r="C484" s="205"/>
      <c r="D484" s="205"/>
      <c r="E484" s="205"/>
      <c r="F484" s="205"/>
    </row>
    <row r="485" ht="13.5" customHeight="1">
      <c r="A485" s="182"/>
      <c r="B485" s="205"/>
      <c r="C485" s="205"/>
      <c r="D485" s="205"/>
      <c r="E485" s="205"/>
      <c r="F485" s="205"/>
    </row>
    <row r="486" ht="13.5" customHeight="1">
      <c r="A486" s="182"/>
      <c r="B486" s="205"/>
      <c r="C486" s="205"/>
      <c r="D486" s="205"/>
      <c r="E486" s="205"/>
      <c r="F486" s="205"/>
    </row>
    <row r="487" ht="13.5" customHeight="1">
      <c r="A487" s="182"/>
      <c r="B487" s="205"/>
      <c r="C487" s="205"/>
      <c r="D487" s="205"/>
      <c r="E487" s="205"/>
      <c r="F487" s="205"/>
    </row>
    <row r="488" ht="13.5" customHeight="1">
      <c r="A488" s="182"/>
      <c r="B488" s="205"/>
      <c r="C488" s="205"/>
      <c r="D488" s="205"/>
      <c r="E488" s="205"/>
      <c r="F488" s="205"/>
    </row>
    <row r="489" ht="13.5" customHeight="1">
      <c r="A489" s="182"/>
      <c r="B489" s="205"/>
      <c r="C489" s="205"/>
      <c r="D489" s="205"/>
      <c r="E489" s="205"/>
      <c r="F489" s="205"/>
    </row>
    <row r="490" ht="13.5" customHeight="1">
      <c r="A490" s="182"/>
      <c r="B490" s="205"/>
      <c r="C490" s="205"/>
      <c r="D490" s="205"/>
      <c r="E490" s="205"/>
      <c r="F490" s="205"/>
    </row>
    <row r="491" ht="13.5" customHeight="1">
      <c r="A491" s="182"/>
      <c r="B491" s="205"/>
      <c r="C491" s="205"/>
      <c r="D491" s="205"/>
      <c r="E491" s="205"/>
      <c r="F491" s="205"/>
    </row>
    <row r="492" ht="13.5" customHeight="1">
      <c r="A492" s="182"/>
      <c r="B492" s="205"/>
      <c r="C492" s="205"/>
      <c r="D492" s="205"/>
      <c r="E492" s="205"/>
      <c r="F492" s="205"/>
    </row>
    <row r="493" ht="13.5" customHeight="1">
      <c r="A493" s="182"/>
      <c r="B493" s="205"/>
      <c r="C493" s="205"/>
      <c r="D493" s="205"/>
      <c r="E493" s="205"/>
      <c r="F493" s="205"/>
    </row>
    <row r="494" ht="13.5" customHeight="1">
      <c r="A494" s="182"/>
      <c r="B494" s="205"/>
      <c r="C494" s="205"/>
      <c r="D494" s="205"/>
      <c r="E494" s="205"/>
      <c r="F494" s="205"/>
    </row>
    <row r="495" ht="13.5" customHeight="1">
      <c r="A495" s="182"/>
      <c r="B495" s="205"/>
      <c r="C495" s="205"/>
      <c r="D495" s="205"/>
      <c r="E495" s="205"/>
      <c r="F495" s="205"/>
    </row>
    <row r="496" ht="13.5" customHeight="1">
      <c r="A496" s="182"/>
      <c r="B496" s="205"/>
      <c r="C496" s="205"/>
      <c r="D496" s="205"/>
      <c r="E496" s="205"/>
      <c r="F496" s="205"/>
    </row>
    <row r="497" ht="13.5" customHeight="1">
      <c r="A497" s="182"/>
      <c r="B497" s="205"/>
      <c r="C497" s="205"/>
      <c r="D497" s="205"/>
      <c r="E497" s="205"/>
      <c r="F497" s="205"/>
    </row>
    <row r="498" ht="13.5" customHeight="1">
      <c r="A498" s="182"/>
      <c r="B498" s="205"/>
      <c r="C498" s="205"/>
      <c r="D498" s="205"/>
      <c r="E498" s="205"/>
      <c r="F498" s="205"/>
    </row>
    <row r="499" ht="13.5" customHeight="1">
      <c r="A499" s="182"/>
      <c r="B499" s="205"/>
      <c r="C499" s="205"/>
      <c r="D499" s="205"/>
      <c r="E499" s="205"/>
      <c r="F499" s="205"/>
    </row>
    <row r="500" ht="13.5" customHeight="1">
      <c r="A500" s="182"/>
      <c r="B500" s="205"/>
      <c r="C500" s="205"/>
      <c r="D500" s="205"/>
      <c r="E500" s="205"/>
      <c r="F500" s="205"/>
    </row>
    <row r="501" ht="13.5" customHeight="1">
      <c r="A501" s="182"/>
      <c r="B501" s="205"/>
      <c r="C501" s="205"/>
      <c r="D501" s="205"/>
      <c r="E501" s="205"/>
      <c r="F501" s="205"/>
    </row>
    <row r="502" ht="13.5" customHeight="1">
      <c r="A502" s="182"/>
      <c r="B502" s="205"/>
      <c r="C502" s="205"/>
      <c r="D502" s="205"/>
      <c r="E502" s="205"/>
      <c r="F502" s="205"/>
    </row>
    <row r="503" ht="13.5" customHeight="1">
      <c r="A503" s="182"/>
      <c r="B503" s="205"/>
      <c r="C503" s="205"/>
      <c r="D503" s="205"/>
      <c r="E503" s="205"/>
      <c r="F503" s="205"/>
    </row>
    <row r="504" ht="13.5" customHeight="1">
      <c r="A504" s="182"/>
      <c r="B504" s="205"/>
      <c r="C504" s="205"/>
      <c r="D504" s="205"/>
      <c r="E504" s="205"/>
      <c r="F504" s="205"/>
    </row>
    <row r="505" ht="13.5" customHeight="1">
      <c r="A505" s="182"/>
      <c r="B505" s="205"/>
      <c r="C505" s="205"/>
      <c r="D505" s="205"/>
      <c r="E505" s="205"/>
      <c r="F505" s="205"/>
    </row>
    <row r="506" ht="13.5" customHeight="1">
      <c r="A506" s="182"/>
      <c r="B506" s="205"/>
      <c r="C506" s="205"/>
      <c r="D506" s="205"/>
      <c r="E506" s="205"/>
      <c r="F506" s="205"/>
    </row>
    <row r="507" ht="13.5" customHeight="1">
      <c r="A507" s="182"/>
      <c r="B507" s="205"/>
      <c r="C507" s="205"/>
      <c r="D507" s="205"/>
      <c r="E507" s="205"/>
      <c r="F507" s="205"/>
    </row>
    <row r="508" ht="13.5" customHeight="1">
      <c r="A508" s="182"/>
      <c r="B508" s="205"/>
      <c r="C508" s="205"/>
      <c r="D508" s="205"/>
      <c r="E508" s="205"/>
      <c r="F508" s="205"/>
    </row>
    <row r="509" ht="13.5" customHeight="1">
      <c r="A509" s="182"/>
      <c r="B509" s="205"/>
      <c r="C509" s="205"/>
      <c r="D509" s="205"/>
      <c r="E509" s="205"/>
      <c r="F509" s="205"/>
    </row>
    <row r="510" ht="13.5" customHeight="1">
      <c r="A510" s="182"/>
      <c r="B510" s="205"/>
      <c r="C510" s="205"/>
      <c r="D510" s="205"/>
      <c r="E510" s="205"/>
      <c r="F510" s="205"/>
    </row>
    <row r="511" ht="13.5" customHeight="1">
      <c r="A511" s="182"/>
      <c r="B511" s="205"/>
      <c r="C511" s="205"/>
      <c r="D511" s="205"/>
      <c r="E511" s="205"/>
      <c r="F511" s="205"/>
    </row>
    <row r="512" ht="13.5" customHeight="1">
      <c r="A512" s="182"/>
      <c r="B512" s="205"/>
      <c r="C512" s="205"/>
      <c r="D512" s="205"/>
      <c r="E512" s="205"/>
      <c r="F512" s="205"/>
    </row>
    <row r="513" ht="13.5" customHeight="1">
      <c r="A513" s="182"/>
      <c r="B513" s="205"/>
      <c r="C513" s="205"/>
      <c r="D513" s="205"/>
      <c r="E513" s="205"/>
      <c r="F513" s="205"/>
    </row>
    <row r="514" ht="13.5" customHeight="1">
      <c r="A514" s="182"/>
      <c r="B514" s="205"/>
      <c r="C514" s="205"/>
      <c r="D514" s="205"/>
      <c r="E514" s="205"/>
      <c r="F514" s="205"/>
    </row>
    <row r="515" ht="13.5" customHeight="1">
      <c r="A515" s="182"/>
      <c r="B515" s="205"/>
      <c r="C515" s="205"/>
      <c r="D515" s="205"/>
      <c r="E515" s="205"/>
      <c r="F515" s="205"/>
    </row>
    <row r="516" ht="13.5" customHeight="1">
      <c r="A516" s="182"/>
      <c r="B516" s="205"/>
      <c r="C516" s="205"/>
      <c r="D516" s="205"/>
      <c r="E516" s="205"/>
      <c r="F516" s="205"/>
    </row>
    <row r="517" ht="13.5" customHeight="1">
      <c r="A517" s="182"/>
      <c r="B517" s="205"/>
      <c r="C517" s="205"/>
      <c r="D517" s="205"/>
      <c r="E517" s="205"/>
      <c r="F517" s="205"/>
    </row>
    <row r="518" ht="13.5" customHeight="1">
      <c r="A518" s="182"/>
      <c r="B518" s="205"/>
      <c r="C518" s="205"/>
      <c r="D518" s="205"/>
      <c r="E518" s="205"/>
      <c r="F518" s="205"/>
    </row>
    <row r="519" ht="13.5" customHeight="1">
      <c r="A519" s="182"/>
      <c r="B519" s="205"/>
      <c r="C519" s="205"/>
      <c r="D519" s="205"/>
      <c r="E519" s="205"/>
      <c r="F519" s="205"/>
    </row>
    <row r="520" ht="13.5" customHeight="1">
      <c r="A520" s="182"/>
      <c r="B520" s="205"/>
      <c r="C520" s="205"/>
      <c r="D520" s="205"/>
      <c r="E520" s="205"/>
      <c r="F520" s="205"/>
    </row>
    <row r="521" ht="13.5" customHeight="1">
      <c r="A521" s="182"/>
      <c r="B521" s="205"/>
      <c r="C521" s="205"/>
      <c r="D521" s="205"/>
      <c r="E521" s="205"/>
      <c r="F521" s="205"/>
    </row>
    <row r="522" ht="13.5" customHeight="1">
      <c r="A522" s="182"/>
      <c r="B522" s="205"/>
      <c r="C522" s="205"/>
      <c r="D522" s="205"/>
      <c r="E522" s="205"/>
      <c r="F522" s="205"/>
    </row>
    <row r="523" ht="13.5" customHeight="1">
      <c r="A523" s="182"/>
      <c r="B523" s="205"/>
      <c r="C523" s="205"/>
      <c r="D523" s="205"/>
      <c r="E523" s="205"/>
      <c r="F523" s="205"/>
    </row>
    <row r="524" ht="13.5" customHeight="1">
      <c r="A524" s="182"/>
      <c r="B524" s="205"/>
      <c r="C524" s="205"/>
      <c r="D524" s="205"/>
      <c r="E524" s="205"/>
      <c r="F524" s="205"/>
    </row>
    <row r="525" ht="13.5" customHeight="1">
      <c r="A525" s="182"/>
      <c r="B525" s="205"/>
      <c r="C525" s="205"/>
      <c r="D525" s="205"/>
      <c r="E525" s="205"/>
      <c r="F525" s="205"/>
    </row>
    <row r="526" ht="13.5" customHeight="1">
      <c r="A526" s="182"/>
      <c r="B526" s="205"/>
      <c r="C526" s="205"/>
      <c r="D526" s="205"/>
      <c r="E526" s="205"/>
      <c r="F526" s="205"/>
    </row>
    <row r="527" ht="13.5" customHeight="1">
      <c r="A527" s="182"/>
      <c r="B527" s="205"/>
      <c r="C527" s="205"/>
      <c r="D527" s="205"/>
      <c r="E527" s="205"/>
      <c r="F527" s="205"/>
    </row>
    <row r="528" ht="13.5" customHeight="1">
      <c r="A528" s="182"/>
      <c r="B528" s="205"/>
      <c r="C528" s="205"/>
      <c r="D528" s="205"/>
      <c r="E528" s="205"/>
      <c r="F528" s="205"/>
    </row>
    <row r="529" ht="13.5" customHeight="1">
      <c r="A529" s="182"/>
      <c r="B529" s="205"/>
      <c r="C529" s="205"/>
      <c r="D529" s="205"/>
      <c r="E529" s="205"/>
      <c r="F529" s="205"/>
    </row>
    <row r="530" ht="13.5" customHeight="1">
      <c r="A530" s="182"/>
      <c r="B530" s="205"/>
      <c r="C530" s="205"/>
      <c r="D530" s="205"/>
      <c r="E530" s="205"/>
      <c r="F530" s="205"/>
    </row>
    <row r="531" ht="13.5" customHeight="1">
      <c r="A531" s="182"/>
      <c r="B531" s="205"/>
      <c r="C531" s="205"/>
      <c r="D531" s="205"/>
      <c r="E531" s="205"/>
      <c r="F531" s="205"/>
    </row>
    <row r="532" ht="13.5" customHeight="1">
      <c r="A532" s="182"/>
      <c r="B532" s="205"/>
      <c r="C532" s="205"/>
      <c r="D532" s="205"/>
      <c r="E532" s="205"/>
      <c r="F532" s="205"/>
    </row>
    <row r="533" ht="13.5" customHeight="1">
      <c r="A533" s="182"/>
      <c r="B533" s="205"/>
      <c r="C533" s="205"/>
      <c r="D533" s="205"/>
      <c r="E533" s="205"/>
      <c r="F533" s="205"/>
    </row>
    <row r="534" ht="13.5" customHeight="1">
      <c r="A534" s="182"/>
      <c r="B534" s="205"/>
      <c r="C534" s="205"/>
      <c r="D534" s="205"/>
      <c r="E534" s="205"/>
      <c r="F534" s="205"/>
    </row>
    <row r="535" ht="13.5" customHeight="1">
      <c r="A535" s="182"/>
      <c r="B535" s="205"/>
      <c r="C535" s="205"/>
      <c r="D535" s="205"/>
      <c r="E535" s="205"/>
      <c r="F535" s="205"/>
    </row>
    <row r="536" ht="13.5" customHeight="1">
      <c r="A536" s="182"/>
      <c r="B536" s="205"/>
      <c r="C536" s="205"/>
      <c r="D536" s="205"/>
      <c r="E536" s="205"/>
      <c r="F536" s="205"/>
    </row>
    <row r="537" ht="13.5" customHeight="1">
      <c r="A537" s="182"/>
      <c r="B537" s="205"/>
      <c r="C537" s="205"/>
      <c r="D537" s="205"/>
      <c r="E537" s="205"/>
      <c r="F537" s="205"/>
    </row>
    <row r="538" ht="13.5" customHeight="1">
      <c r="A538" s="182"/>
      <c r="B538" s="205"/>
      <c r="C538" s="205"/>
      <c r="D538" s="205"/>
      <c r="E538" s="205"/>
      <c r="F538" s="205"/>
    </row>
    <row r="539" ht="13.5" customHeight="1">
      <c r="A539" s="182"/>
      <c r="B539" s="205"/>
      <c r="C539" s="205"/>
      <c r="D539" s="205"/>
      <c r="E539" s="205"/>
      <c r="F539" s="205"/>
    </row>
    <row r="540" ht="13.5" customHeight="1">
      <c r="A540" s="182"/>
      <c r="B540" s="205"/>
      <c r="C540" s="205"/>
      <c r="D540" s="205"/>
      <c r="E540" s="205"/>
      <c r="F540" s="205"/>
    </row>
    <row r="541" ht="13.5" customHeight="1">
      <c r="A541" s="182"/>
      <c r="B541" s="205"/>
      <c r="C541" s="205"/>
      <c r="D541" s="205"/>
      <c r="E541" s="205"/>
      <c r="F541" s="205"/>
    </row>
    <row r="542" ht="13.5" customHeight="1">
      <c r="A542" s="182"/>
      <c r="B542" s="205"/>
      <c r="C542" s="205"/>
      <c r="D542" s="205"/>
      <c r="E542" s="205"/>
      <c r="F542" s="205"/>
    </row>
    <row r="543" ht="13.5" customHeight="1">
      <c r="A543" s="182"/>
      <c r="B543" s="205"/>
      <c r="C543" s="205"/>
      <c r="D543" s="205"/>
      <c r="E543" s="205"/>
      <c r="F543" s="205"/>
    </row>
    <row r="544" ht="13.5" customHeight="1">
      <c r="A544" s="182"/>
      <c r="B544" s="205"/>
      <c r="C544" s="205"/>
      <c r="D544" s="205"/>
      <c r="E544" s="205"/>
      <c r="F544" s="205"/>
    </row>
    <row r="545" ht="13.5" customHeight="1">
      <c r="A545" s="182"/>
      <c r="B545" s="205"/>
      <c r="C545" s="205"/>
      <c r="D545" s="205"/>
      <c r="E545" s="205"/>
      <c r="F545" s="205"/>
    </row>
    <row r="546" ht="13.5" customHeight="1">
      <c r="A546" s="182"/>
      <c r="B546" s="205"/>
      <c r="C546" s="205"/>
      <c r="D546" s="205"/>
      <c r="E546" s="205"/>
      <c r="F546" s="205"/>
    </row>
    <row r="547" ht="13.5" customHeight="1">
      <c r="A547" s="182"/>
      <c r="B547" s="205"/>
      <c r="C547" s="205"/>
      <c r="D547" s="205"/>
      <c r="E547" s="205"/>
      <c r="F547" s="205"/>
    </row>
    <row r="548" ht="13.5" customHeight="1">
      <c r="A548" s="182"/>
      <c r="B548" s="205"/>
      <c r="C548" s="205"/>
      <c r="D548" s="205"/>
      <c r="E548" s="205"/>
      <c r="F548" s="205"/>
    </row>
    <row r="549" ht="13.5" customHeight="1">
      <c r="A549" s="182"/>
      <c r="B549" s="205"/>
      <c r="C549" s="205"/>
      <c r="D549" s="205"/>
      <c r="E549" s="205"/>
      <c r="F549" s="205"/>
    </row>
    <row r="550" ht="13.5" customHeight="1">
      <c r="A550" s="182"/>
      <c r="B550" s="205"/>
      <c r="C550" s="205"/>
      <c r="D550" s="205"/>
      <c r="E550" s="205"/>
      <c r="F550" s="205"/>
    </row>
    <row r="551" ht="13.5" customHeight="1">
      <c r="A551" s="182"/>
      <c r="B551" s="205"/>
      <c r="C551" s="205"/>
      <c r="D551" s="205"/>
      <c r="E551" s="205"/>
      <c r="F551" s="205"/>
    </row>
    <row r="552" ht="13.5" customHeight="1">
      <c r="A552" s="182"/>
      <c r="B552" s="205"/>
      <c r="C552" s="205"/>
      <c r="D552" s="205"/>
      <c r="E552" s="205"/>
      <c r="F552" s="205"/>
    </row>
    <row r="553" ht="13.5" customHeight="1">
      <c r="A553" s="182"/>
      <c r="B553" s="205"/>
      <c r="C553" s="205"/>
      <c r="D553" s="205"/>
      <c r="E553" s="205"/>
      <c r="F553" s="205"/>
    </row>
    <row r="554" ht="13.5" customHeight="1">
      <c r="A554" s="182"/>
      <c r="B554" s="205"/>
      <c r="C554" s="205"/>
      <c r="D554" s="205"/>
      <c r="E554" s="205"/>
      <c r="F554" s="205"/>
    </row>
    <row r="555" ht="13.5" customHeight="1">
      <c r="A555" s="182"/>
      <c r="B555" s="205"/>
      <c r="C555" s="205"/>
      <c r="D555" s="205"/>
      <c r="E555" s="205"/>
      <c r="F555" s="205"/>
    </row>
    <row r="556" ht="13.5" customHeight="1">
      <c r="A556" s="182"/>
      <c r="B556" s="205"/>
      <c r="C556" s="205"/>
      <c r="D556" s="205"/>
      <c r="E556" s="205"/>
      <c r="F556" s="205"/>
    </row>
    <row r="557" ht="13.5" customHeight="1">
      <c r="A557" s="182"/>
      <c r="B557" s="205"/>
      <c r="C557" s="205"/>
      <c r="D557" s="205"/>
      <c r="E557" s="205"/>
      <c r="F557" s="205"/>
    </row>
    <row r="558" ht="13.5" customHeight="1">
      <c r="A558" s="182"/>
      <c r="B558" s="205"/>
      <c r="C558" s="205"/>
      <c r="D558" s="205"/>
      <c r="E558" s="205"/>
      <c r="F558" s="205"/>
    </row>
    <row r="559" ht="13.5" customHeight="1">
      <c r="A559" s="182"/>
      <c r="B559" s="205"/>
      <c r="C559" s="205"/>
      <c r="D559" s="205"/>
      <c r="E559" s="205"/>
      <c r="F559" s="205"/>
    </row>
    <row r="560" ht="13.5" customHeight="1">
      <c r="A560" s="182"/>
      <c r="B560" s="205"/>
      <c r="C560" s="205"/>
      <c r="D560" s="205"/>
      <c r="E560" s="205"/>
      <c r="F560" s="205"/>
    </row>
    <row r="561" ht="13.5" customHeight="1">
      <c r="A561" s="182"/>
      <c r="B561" s="205"/>
      <c r="C561" s="205"/>
      <c r="D561" s="205"/>
      <c r="E561" s="205"/>
      <c r="F561" s="205"/>
    </row>
    <row r="562" ht="13.5" customHeight="1">
      <c r="A562" s="182"/>
      <c r="B562" s="205"/>
      <c r="C562" s="205"/>
      <c r="D562" s="205"/>
      <c r="E562" s="205"/>
      <c r="F562" s="205"/>
    </row>
    <row r="563" ht="13.5" customHeight="1">
      <c r="A563" s="182"/>
      <c r="B563" s="205"/>
      <c r="C563" s="205"/>
      <c r="D563" s="205"/>
      <c r="E563" s="205"/>
      <c r="F563" s="205"/>
    </row>
    <row r="564" ht="13.5" customHeight="1">
      <c r="A564" s="182"/>
      <c r="B564" s="205"/>
      <c r="C564" s="205"/>
      <c r="D564" s="205"/>
      <c r="E564" s="205"/>
      <c r="F564" s="205"/>
    </row>
    <row r="565" ht="13.5" customHeight="1">
      <c r="A565" s="182"/>
      <c r="B565" s="205"/>
      <c r="C565" s="205"/>
      <c r="D565" s="205"/>
      <c r="E565" s="205"/>
      <c r="F565" s="205"/>
    </row>
    <row r="566" ht="13.5" customHeight="1">
      <c r="A566" s="182"/>
      <c r="B566" s="205"/>
      <c r="C566" s="205"/>
      <c r="D566" s="205"/>
      <c r="E566" s="205"/>
      <c r="F566" s="205"/>
    </row>
    <row r="567" ht="13.5" customHeight="1">
      <c r="A567" s="182"/>
      <c r="B567" s="205"/>
      <c r="C567" s="205"/>
      <c r="D567" s="205"/>
      <c r="E567" s="205"/>
      <c r="F567" s="205"/>
    </row>
    <row r="568" ht="13.5" customHeight="1">
      <c r="A568" s="182"/>
      <c r="B568" s="205"/>
      <c r="C568" s="205"/>
      <c r="D568" s="205"/>
      <c r="E568" s="205"/>
      <c r="F568" s="205"/>
    </row>
    <row r="569" ht="13.5" customHeight="1">
      <c r="A569" s="182"/>
      <c r="B569" s="205"/>
      <c r="C569" s="205"/>
      <c r="D569" s="205"/>
      <c r="E569" s="205"/>
      <c r="F569" s="205"/>
    </row>
    <row r="570" ht="13.5" customHeight="1">
      <c r="A570" s="182"/>
      <c r="B570" s="205"/>
      <c r="C570" s="205"/>
      <c r="D570" s="205"/>
      <c r="E570" s="205"/>
      <c r="F570" s="205"/>
    </row>
    <row r="571" ht="13.5" customHeight="1">
      <c r="A571" s="182"/>
      <c r="B571" s="205"/>
      <c r="C571" s="205"/>
      <c r="D571" s="205"/>
      <c r="E571" s="205"/>
      <c r="F571" s="205"/>
    </row>
    <row r="572" ht="13.5" customHeight="1">
      <c r="A572" s="182"/>
      <c r="B572" s="205"/>
      <c r="C572" s="205"/>
      <c r="D572" s="205"/>
      <c r="E572" s="205"/>
      <c r="F572" s="205"/>
    </row>
    <row r="573" ht="13.5" customHeight="1">
      <c r="A573" s="182"/>
      <c r="B573" s="205"/>
      <c r="C573" s="205"/>
      <c r="D573" s="205"/>
      <c r="E573" s="205"/>
      <c r="F573" s="205"/>
    </row>
    <row r="574" ht="13.5" customHeight="1">
      <c r="A574" s="182"/>
      <c r="B574" s="205"/>
      <c r="C574" s="205"/>
      <c r="D574" s="205"/>
      <c r="E574" s="205"/>
      <c r="F574" s="205"/>
    </row>
    <row r="575" ht="13.5" customHeight="1">
      <c r="A575" s="182"/>
      <c r="B575" s="205"/>
      <c r="C575" s="205"/>
      <c r="D575" s="205"/>
      <c r="E575" s="205"/>
      <c r="F575" s="205"/>
    </row>
    <row r="576" ht="13.5" customHeight="1">
      <c r="A576" s="182"/>
      <c r="B576" s="205"/>
      <c r="C576" s="205"/>
      <c r="D576" s="205"/>
      <c r="E576" s="205"/>
      <c r="F576" s="205"/>
    </row>
    <row r="577" ht="13.5" customHeight="1">
      <c r="A577" s="182"/>
      <c r="B577" s="205"/>
      <c r="C577" s="205"/>
      <c r="D577" s="205"/>
      <c r="E577" s="205"/>
      <c r="F577" s="205"/>
    </row>
    <row r="578" ht="13.5" customHeight="1">
      <c r="A578" s="182"/>
      <c r="B578" s="205"/>
      <c r="C578" s="205"/>
      <c r="D578" s="205"/>
      <c r="E578" s="205"/>
      <c r="F578" s="205"/>
    </row>
    <row r="579" ht="13.5" customHeight="1">
      <c r="A579" s="182"/>
      <c r="B579" s="205"/>
      <c r="C579" s="205"/>
      <c r="D579" s="205"/>
      <c r="E579" s="205"/>
      <c r="F579" s="205"/>
    </row>
    <row r="580" ht="13.5" customHeight="1">
      <c r="A580" s="182"/>
      <c r="B580" s="205"/>
      <c r="C580" s="205"/>
      <c r="D580" s="205"/>
      <c r="E580" s="205"/>
      <c r="F580" s="205"/>
    </row>
    <row r="581" ht="13.5" customHeight="1">
      <c r="A581" s="182"/>
      <c r="B581" s="205"/>
      <c r="C581" s="205"/>
      <c r="D581" s="205"/>
      <c r="E581" s="205"/>
      <c r="F581" s="205"/>
    </row>
    <row r="582" ht="13.5" customHeight="1">
      <c r="A582" s="182"/>
      <c r="B582" s="205"/>
      <c r="C582" s="205"/>
      <c r="D582" s="205"/>
      <c r="E582" s="205"/>
      <c r="F582" s="205"/>
    </row>
    <row r="583" ht="13.5" customHeight="1">
      <c r="A583" s="182"/>
      <c r="B583" s="205"/>
      <c r="C583" s="205"/>
      <c r="D583" s="205"/>
      <c r="E583" s="205"/>
      <c r="F583" s="205"/>
    </row>
    <row r="584" ht="13.5" customHeight="1">
      <c r="A584" s="182"/>
      <c r="B584" s="205"/>
      <c r="C584" s="205"/>
      <c r="D584" s="205"/>
      <c r="E584" s="205"/>
      <c r="F584" s="205"/>
    </row>
    <row r="585" ht="13.5" customHeight="1">
      <c r="A585" s="182"/>
      <c r="B585" s="205"/>
      <c r="C585" s="205"/>
      <c r="D585" s="205"/>
      <c r="E585" s="205"/>
      <c r="F585" s="205"/>
    </row>
    <row r="586" ht="13.5" customHeight="1">
      <c r="A586" s="182"/>
      <c r="B586" s="205"/>
      <c r="C586" s="205"/>
      <c r="D586" s="205"/>
      <c r="E586" s="205"/>
      <c r="F586" s="205"/>
    </row>
    <row r="587" ht="13.5" customHeight="1">
      <c r="A587" s="182"/>
      <c r="B587" s="205"/>
      <c r="C587" s="205"/>
      <c r="D587" s="205"/>
      <c r="E587" s="205"/>
      <c r="F587" s="205"/>
    </row>
    <row r="588" ht="13.5" customHeight="1">
      <c r="A588" s="182"/>
      <c r="B588" s="205"/>
      <c r="C588" s="205"/>
      <c r="D588" s="205"/>
      <c r="E588" s="205"/>
      <c r="F588" s="205"/>
    </row>
    <row r="589" ht="13.5" customHeight="1">
      <c r="A589" s="182"/>
      <c r="B589" s="205"/>
      <c r="C589" s="205"/>
      <c r="D589" s="205"/>
      <c r="E589" s="205"/>
      <c r="F589" s="205"/>
    </row>
    <row r="590" ht="13.5" customHeight="1">
      <c r="A590" s="182"/>
      <c r="B590" s="205"/>
      <c r="C590" s="205"/>
      <c r="D590" s="205"/>
      <c r="E590" s="205"/>
      <c r="F590" s="205"/>
    </row>
    <row r="591" ht="13.5" customHeight="1">
      <c r="A591" s="182"/>
      <c r="B591" s="205"/>
      <c r="C591" s="205"/>
      <c r="D591" s="205"/>
      <c r="E591" s="205"/>
      <c r="F591" s="205"/>
    </row>
    <row r="592" ht="13.5" customHeight="1">
      <c r="A592" s="182"/>
      <c r="B592" s="205"/>
      <c r="C592" s="205"/>
      <c r="D592" s="205"/>
      <c r="E592" s="205"/>
      <c r="F592" s="205"/>
    </row>
    <row r="593" ht="13.5" customHeight="1">
      <c r="A593" s="182"/>
      <c r="B593" s="205"/>
      <c r="C593" s="205"/>
      <c r="D593" s="205"/>
      <c r="E593" s="205"/>
      <c r="F593" s="205"/>
    </row>
    <row r="594" ht="13.5" customHeight="1">
      <c r="A594" s="182"/>
      <c r="B594" s="205"/>
      <c r="C594" s="205"/>
      <c r="D594" s="205"/>
      <c r="E594" s="205"/>
      <c r="F594" s="205"/>
    </row>
    <row r="595" ht="13.5" customHeight="1">
      <c r="A595" s="182"/>
      <c r="B595" s="205"/>
      <c r="C595" s="205"/>
      <c r="D595" s="205"/>
      <c r="E595" s="205"/>
      <c r="F595" s="205"/>
    </row>
    <row r="596" ht="13.5" customHeight="1">
      <c r="A596" s="182"/>
      <c r="B596" s="205"/>
      <c r="C596" s="205"/>
      <c r="D596" s="205"/>
      <c r="E596" s="205"/>
      <c r="F596" s="205"/>
    </row>
    <row r="597" ht="13.5" customHeight="1">
      <c r="A597" s="182"/>
      <c r="B597" s="205"/>
      <c r="C597" s="205"/>
      <c r="D597" s="205"/>
      <c r="E597" s="205"/>
      <c r="F597" s="205"/>
    </row>
    <row r="598" ht="13.5" customHeight="1">
      <c r="A598" s="182"/>
      <c r="B598" s="205"/>
      <c r="C598" s="205"/>
      <c r="D598" s="205"/>
      <c r="E598" s="205"/>
      <c r="F598" s="205"/>
    </row>
    <row r="599" ht="13.5" customHeight="1">
      <c r="A599" s="182"/>
      <c r="B599" s="205"/>
      <c r="C599" s="205"/>
      <c r="D599" s="205"/>
      <c r="E599" s="205"/>
      <c r="F599" s="205"/>
    </row>
    <row r="600" ht="13.5" customHeight="1">
      <c r="A600" s="182"/>
      <c r="B600" s="205"/>
      <c r="C600" s="205"/>
      <c r="D600" s="205"/>
      <c r="E600" s="205"/>
      <c r="F600" s="205"/>
    </row>
    <row r="601" ht="13.5" customHeight="1">
      <c r="A601" s="182"/>
      <c r="B601" s="205"/>
      <c r="C601" s="205"/>
      <c r="D601" s="205"/>
      <c r="E601" s="205"/>
      <c r="F601" s="205"/>
    </row>
    <row r="602" ht="13.5" customHeight="1">
      <c r="A602" s="182"/>
      <c r="B602" s="205"/>
      <c r="C602" s="205"/>
      <c r="D602" s="205"/>
      <c r="E602" s="205"/>
      <c r="F602" s="205"/>
    </row>
    <row r="603" ht="13.5" customHeight="1">
      <c r="A603" s="182"/>
      <c r="B603" s="205"/>
      <c r="C603" s="205"/>
      <c r="D603" s="205"/>
      <c r="E603" s="205"/>
      <c r="F603" s="205"/>
    </row>
    <row r="604" ht="13.5" customHeight="1">
      <c r="A604" s="182"/>
      <c r="B604" s="205"/>
      <c r="C604" s="205"/>
      <c r="D604" s="205"/>
      <c r="E604" s="205"/>
      <c r="F604" s="205"/>
    </row>
    <row r="605" ht="13.5" customHeight="1">
      <c r="A605" s="182"/>
      <c r="B605" s="205"/>
      <c r="C605" s="205"/>
      <c r="D605" s="205"/>
      <c r="E605" s="205"/>
      <c r="F605" s="205"/>
    </row>
    <row r="606" ht="13.5" customHeight="1">
      <c r="A606" s="182"/>
      <c r="B606" s="205"/>
      <c r="C606" s="205"/>
      <c r="D606" s="205"/>
      <c r="E606" s="205"/>
      <c r="F606" s="205"/>
    </row>
    <row r="607" ht="13.5" customHeight="1">
      <c r="A607" s="182"/>
      <c r="B607" s="205"/>
      <c r="C607" s="205"/>
      <c r="D607" s="205"/>
      <c r="E607" s="205"/>
      <c r="F607" s="205"/>
    </row>
    <row r="608" ht="13.5" customHeight="1">
      <c r="A608" s="182"/>
      <c r="B608" s="205"/>
      <c r="C608" s="205"/>
      <c r="D608" s="205"/>
      <c r="E608" s="205"/>
      <c r="F608" s="205"/>
    </row>
    <row r="609" ht="13.5" customHeight="1">
      <c r="A609" s="182"/>
      <c r="B609" s="205"/>
      <c r="C609" s="205"/>
      <c r="D609" s="205"/>
      <c r="E609" s="205"/>
      <c r="F609" s="205"/>
    </row>
    <row r="610" ht="13.5" customHeight="1">
      <c r="A610" s="182"/>
      <c r="B610" s="205"/>
      <c r="C610" s="205"/>
      <c r="D610" s="205"/>
      <c r="E610" s="205"/>
      <c r="F610" s="205"/>
    </row>
    <row r="611" ht="13.5" customHeight="1">
      <c r="A611" s="182"/>
      <c r="B611" s="205"/>
      <c r="C611" s="205"/>
      <c r="D611" s="205"/>
      <c r="E611" s="205"/>
      <c r="F611" s="205"/>
    </row>
    <row r="612" ht="13.5" customHeight="1">
      <c r="A612" s="182"/>
      <c r="B612" s="205"/>
      <c r="C612" s="205"/>
      <c r="D612" s="205"/>
      <c r="E612" s="205"/>
      <c r="F612" s="205"/>
    </row>
    <row r="613" ht="13.5" customHeight="1">
      <c r="A613" s="182"/>
      <c r="B613" s="205"/>
      <c r="C613" s="205"/>
      <c r="D613" s="205"/>
      <c r="E613" s="205"/>
      <c r="F613" s="205"/>
    </row>
    <row r="614" ht="13.5" customHeight="1">
      <c r="A614" s="182"/>
      <c r="B614" s="205"/>
      <c r="C614" s="205"/>
      <c r="D614" s="205"/>
      <c r="E614" s="205"/>
      <c r="F614" s="205"/>
    </row>
    <row r="615" ht="13.5" customHeight="1">
      <c r="A615" s="182"/>
      <c r="B615" s="205"/>
      <c r="C615" s="205"/>
      <c r="D615" s="205"/>
      <c r="E615" s="205"/>
      <c r="F615" s="205"/>
    </row>
    <row r="616" ht="13.5" customHeight="1">
      <c r="A616" s="182"/>
      <c r="B616" s="205"/>
      <c r="C616" s="205"/>
      <c r="D616" s="205"/>
      <c r="E616" s="205"/>
      <c r="F616" s="205"/>
    </row>
    <row r="617" ht="13.5" customHeight="1">
      <c r="A617" s="182"/>
      <c r="B617" s="205"/>
      <c r="C617" s="205"/>
      <c r="D617" s="205"/>
      <c r="E617" s="205"/>
      <c r="F617" s="205"/>
    </row>
    <row r="618" ht="13.5" customHeight="1">
      <c r="A618" s="182"/>
      <c r="B618" s="205"/>
      <c r="C618" s="205"/>
      <c r="D618" s="205"/>
      <c r="E618" s="205"/>
      <c r="F618" s="205"/>
    </row>
    <row r="619" ht="13.5" customHeight="1">
      <c r="A619" s="182"/>
      <c r="B619" s="205"/>
      <c r="C619" s="205"/>
      <c r="D619" s="205"/>
      <c r="E619" s="205"/>
      <c r="F619" s="205"/>
    </row>
    <row r="620" ht="13.5" customHeight="1">
      <c r="A620" s="182"/>
      <c r="B620" s="205"/>
      <c r="C620" s="205"/>
      <c r="D620" s="205"/>
      <c r="E620" s="205"/>
      <c r="F620" s="205"/>
    </row>
    <row r="621" ht="13.5" customHeight="1">
      <c r="A621" s="182"/>
      <c r="B621" s="205"/>
      <c r="C621" s="205"/>
      <c r="D621" s="205"/>
      <c r="E621" s="205"/>
      <c r="F621" s="205"/>
    </row>
    <row r="622" ht="13.5" customHeight="1">
      <c r="A622" s="182"/>
      <c r="B622" s="205"/>
      <c r="C622" s="205"/>
      <c r="D622" s="205"/>
      <c r="E622" s="205"/>
      <c r="F622" s="205"/>
    </row>
    <row r="623" ht="13.5" customHeight="1">
      <c r="A623" s="182"/>
      <c r="B623" s="205"/>
      <c r="C623" s="205"/>
      <c r="D623" s="205"/>
      <c r="E623" s="205"/>
      <c r="F623" s="205"/>
    </row>
    <row r="624" ht="13.5" customHeight="1">
      <c r="A624" s="182"/>
      <c r="B624" s="205"/>
      <c r="C624" s="205"/>
      <c r="D624" s="205"/>
      <c r="E624" s="205"/>
      <c r="F624" s="205"/>
    </row>
    <row r="625" ht="13.5" customHeight="1">
      <c r="A625" s="182"/>
      <c r="B625" s="205"/>
      <c r="C625" s="205"/>
      <c r="D625" s="205"/>
      <c r="E625" s="205"/>
      <c r="F625" s="205"/>
    </row>
    <row r="626" ht="13.5" customHeight="1">
      <c r="A626" s="182"/>
      <c r="B626" s="205"/>
      <c r="C626" s="205"/>
      <c r="D626" s="205"/>
      <c r="E626" s="205"/>
      <c r="F626" s="205"/>
    </row>
    <row r="627" ht="13.5" customHeight="1">
      <c r="A627" s="182"/>
      <c r="B627" s="205"/>
      <c r="C627" s="205"/>
      <c r="D627" s="205"/>
      <c r="E627" s="205"/>
      <c r="F627" s="205"/>
    </row>
    <row r="628" ht="13.5" customHeight="1">
      <c r="A628" s="182"/>
      <c r="B628" s="205"/>
      <c r="C628" s="205"/>
      <c r="D628" s="205"/>
      <c r="E628" s="205"/>
      <c r="F628" s="205"/>
    </row>
    <row r="629" ht="13.5" customHeight="1">
      <c r="A629" s="182"/>
      <c r="B629" s="205"/>
      <c r="C629" s="205"/>
      <c r="D629" s="205"/>
      <c r="E629" s="205"/>
      <c r="F629" s="205"/>
    </row>
    <row r="630" ht="13.5" customHeight="1">
      <c r="A630" s="182"/>
      <c r="B630" s="205"/>
      <c r="C630" s="205"/>
      <c r="D630" s="205"/>
      <c r="E630" s="205"/>
      <c r="F630" s="205"/>
    </row>
    <row r="631" ht="13.5" customHeight="1">
      <c r="A631" s="182"/>
      <c r="B631" s="205"/>
      <c r="C631" s="205"/>
      <c r="D631" s="205"/>
      <c r="E631" s="205"/>
      <c r="F631" s="205"/>
    </row>
    <row r="632" ht="13.5" customHeight="1">
      <c r="A632" s="182"/>
      <c r="B632" s="205"/>
      <c r="C632" s="205"/>
      <c r="D632" s="205"/>
      <c r="E632" s="205"/>
      <c r="F632" s="205"/>
    </row>
    <row r="633" ht="13.5" customHeight="1">
      <c r="A633" s="182"/>
      <c r="B633" s="205"/>
      <c r="C633" s="205"/>
      <c r="D633" s="205"/>
      <c r="E633" s="205"/>
      <c r="F633" s="205"/>
    </row>
    <row r="634" ht="13.5" customHeight="1">
      <c r="A634" s="182"/>
      <c r="B634" s="205"/>
      <c r="C634" s="205"/>
      <c r="D634" s="205"/>
      <c r="E634" s="205"/>
      <c r="F634" s="205"/>
    </row>
    <row r="635" ht="13.5" customHeight="1">
      <c r="A635" s="182"/>
      <c r="B635" s="205"/>
      <c r="C635" s="205"/>
      <c r="D635" s="205"/>
      <c r="E635" s="205"/>
      <c r="F635" s="205"/>
    </row>
    <row r="636" ht="13.5" customHeight="1">
      <c r="A636" s="182"/>
      <c r="B636" s="205"/>
      <c r="C636" s="205"/>
      <c r="D636" s="205"/>
      <c r="E636" s="205"/>
      <c r="F636" s="205"/>
    </row>
    <row r="637" ht="13.5" customHeight="1">
      <c r="A637" s="182"/>
      <c r="B637" s="205"/>
      <c r="C637" s="205"/>
      <c r="D637" s="205"/>
      <c r="E637" s="205"/>
      <c r="F637" s="205"/>
    </row>
    <row r="638" ht="13.5" customHeight="1">
      <c r="A638" s="182"/>
      <c r="B638" s="205"/>
      <c r="C638" s="205"/>
      <c r="D638" s="205"/>
      <c r="E638" s="205"/>
      <c r="F638" s="205"/>
    </row>
    <row r="639" ht="13.5" customHeight="1">
      <c r="A639" s="182"/>
      <c r="B639" s="205"/>
      <c r="C639" s="205"/>
      <c r="D639" s="205"/>
      <c r="E639" s="205"/>
      <c r="F639" s="205"/>
    </row>
    <row r="640" ht="13.5" customHeight="1">
      <c r="A640" s="182"/>
      <c r="B640" s="205"/>
      <c r="C640" s="205"/>
      <c r="D640" s="205"/>
      <c r="E640" s="205"/>
      <c r="F640" s="205"/>
    </row>
    <row r="641" ht="13.5" customHeight="1">
      <c r="A641" s="182"/>
      <c r="B641" s="205"/>
      <c r="C641" s="205"/>
      <c r="D641" s="205"/>
      <c r="E641" s="205"/>
      <c r="F641" s="205"/>
    </row>
    <row r="642" ht="13.5" customHeight="1">
      <c r="A642" s="182"/>
      <c r="B642" s="205"/>
      <c r="C642" s="205"/>
      <c r="D642" s="205"/>
      <c r="E642" s="205"/>
      <c r="F642" s="205"/>
    </row>
    <row r="643" ht="13.5" customHeight="1">
      <c r="A643" s="182"/>
      <c r="B643" s="205"/>
      <c r="C643" s="205"/>
      <c r="D643" s="205"/>
      <c r="E643" s="205"/>
      <c r="F643" s="205"/>
    </row>
    <row r="644" ht="13.5" customHeight="1">
      <c r="A644" s="182"/>
      <c r="B644" s="205"/>
      <c r="C644" s="205"/>
      <c r="D644" s="205"/>
      <c r="E644" s="205"/>
      <c r="F644" s="205"/>
    </row>
    <row r="645" ht="13.5" customHeight="1">
      <c r="A645" s="182"/>
      <c r="B645" s="205"/>
      <c r="C645" s="205"/>
      <c r="D645" s="205"/>
      <c r="E645" s="205"/>
      <c r="F645" s="205"/>
    </row>
    <row r="646" ht="13.5" customHeight="1">
      <c r="A646" s="182"/>
      <c r="B646" s="205"/>
      <c r="C646" s="205"/>
      <c r="D646" s="205"/>
      <c r="E646" s="205"/>
      <c r="F646" s="205"/>
    </row>
    <row r="647" ht="13.5" customHeight="1">
      <c r="A647" s="182"/>
      <c r="B647" s="205"/>
      <c r="C647" s="205"/>
      <c r="D647" s="205"/>
      <c r="E647" s="205"/>
      <c r="F647" s="205"/>
    </row>
    <row r="648" ht="13.5" customHeight="1">
      <c r="A648" s="182"/>
      <c r="B648" s="205"/>
      <c r="C648" s="205"/>
      <c r="D648" s="205"/>
      <c r="E648" s="205"/>
      <c r="F648" s="205"/>
    </row>
    <row r="649" ht="13.5" customHeight="1">
      <c r="A649" s="182"/>
      <c r="B649" s="205"/>
      <c r="C649" s="205"/>
      <c r="D649" s="205"/>
      <c r="E649" s="205"/>
      <c r="F649" s="205"/>
    </row>
    <row r="650" ht="13.5" customHeight="1">
      <c r="A650" s="182"/>
      <c r="B650" s="205"/>
      <c r="C650" s="205"/>
      <c r="D650" s="205"/>
      <c r="E650" s="205"/>
      <c r="F650" s="205"/>
    </row>
    <row r="651" ht="13.5" customHeight="1">
      <c r="A651" s="182"/>
      <c r="B651" s="205"/>
      <c r="C651" s="205"/>
      <c r="D651" s="205"/>
      <c r="E651" s="205"/>
      <c r="F651" s="205"/>
    </row>
    <row r="652" ht="13.5" customHeight="1">
      <c r="A652" s="182"/>
      <c r="B652" s="205"/>
      <c r="C652" s="205"/>
      <c r="D652" s="205"/>
      <c r="E652" s="205"/>
      <c r="F652" s="205"/>
    </row>
    <row r="653" ht="13.5" customHeight="1">
      <c r="A653" s="182"/>
      <c r="B653" s="205"/>
      <c r="C653" s="205"/>
      <c r="D653" s="205"/>
      <c r="E653" s="205"/>
      <c r="F653" s="205"/>
    </row>
    <row r="654" ht="13.5" customHeight="1">
      <c r="A654" s="182"/>
      <c r="B654" s="205"/>
      <c r="C654" s="205"/>
      <c r="D654" s="205"/>
      <c r="E654" s="205"/>
      <c r="F654" s="205"/>
    </row>
    <row r="655" ht="13.5" customHeight="1">
      <c r="A655" s="182"/>
      <c r="B655" s="205"/>
      <c r="C655" s="205"/>
      <c r="D655" s="205"/>
      <c r="E655" s="205"/>
      <c r="F655" s="205"/>
    </row>
    <row r="656" ht="13.5" customHeight="1">
      <c r="A656" s="182"/>
      <c r="B656" s="205"/>
      <c r="C656" s="205"/>
      <c r="D656" s="205"/>
      <c r="E656" s="205"/>
      <c r="F656" s="205"/>
    </row>
    <row r="657" ht="13.5" customHeight="1">
      <c r="A657" s="182"/>
      <c r="B657" s="205"/>
      <c r="C657" s="205"/>
      <c r="D657" s="205"/>
      <c r="E657" s="205"/>
      <c r="F657" s="205"/>
    </row>
    <row r="658" ht="13.5" customHeight="1">
      <c r="A658" s="182"/>
      <c r="B658" s="205"/>
      <c r="C658" s="205"/>
      <c r="D658" s="205"/>
      <c r="E658" s="205"/>
      <c r="F658" s="205"/>
    </row>
    <row r="659" ht="13.5" customHeight="1">
      <c r="A659" s="182"/>
      <c r="B659" s="205"/>
      <c r="C659" s="205"/>
      <c r="D659" s="205"/>
      <c r="E659" s="205"/>
      <c r="F659" s="205"/>
    </row>
    <row r="660" ht="13.5" customHeight="1">
      <c r="A660" s="182"/>
      <c r="B660" s="205"/>
      <c r="C660" s="205"/>
      <c r="D660" s="205"/>
      <c r="E660" s="205"/>
      <c r="F660" s="205"/>
    </row>
    <row r="661" ht="13.5" customHeight="1">
      <c r="A661" s="182"/>
      <c r="B661" s="205"/>
      <c r="C661" s="205"/>
      <c r="D661" s="205"/>
      <c r="E661" s="205"/>
      <c r="F661" s="205"/>
    </row>
    <row r="662" ht="13.5" customHeight="1">
      <c r="A662" s="182"/>
      <c r="B662" s="205"/>
      <c r="C662" s="205"/>
      <c r="D662" s="205"/>
      <c r="E662" s="205"/>
      <c r="F662" s="205"/>
    </row>
    <row r="663" ht="13.5" customHeight="1">
      <c r="A663" s="182"/>
      <c r="B663" s="205"/>
      <c r="C663" s="205"/>
      <c r="D663" s="205"/>
      <c r="E663" s="205"/>
      <c r="F663" s="205"/>
    </row>
    <row r="664" ht="13.5" customHeight="1">
      <c r="A664" s="182"/>
      <c r="B664" s="205"/>
      <c r="C664" s="205"/>
      <c r="D664" s="205"/>
      <c r="E664" s="205"/>
      <c r="F664" s="205"/>
    </row>
    <row r="665" ht="13.5" customHeight="1">
      <c r="A665" s="182"/>
      <c r="B665" s="205"/>
      <c r="C665" s="205"/>
      <c r="D665" s="205"/>
      <c r="E665" s="205"/>
      <c r="F665" s="205"/>
    </row>
    <row r="666" ht="13.5" customHeight="1">
      <c r="A666" s="182"/>
      <c r="B666" s="205"/>
      <c r="C666" s="205"/>
      <c r="D666" s="205"/>
      <c r="E666" s="205"/>
      <c r="F666" s="205"/>
    </row>
    <row r="667" ht="13.5" customHeight="1">
      <c r="A667" s="182"/>
      <c r="B667" s="205"/>
      <c r="C667" s="205"/>
      <c r="D667" s="205"/>
      <c r="E667" s="205"/>
      <c r="F667" s="205"/>
    </row>
    <row r="668" ht="13.5" customHeight="1">
      <c r="A668" s="182"/>
      <c r="B668" s="205"/>
      <c r="C668" s="205"/>
      <c r="D668" s="205"/>
      <c r="E668" s="205"/>
      <c r="F668" s="205"/>
    </row>
    <row r="669" ht="13.5" customHeight="1">
      <c r="A669" s="182"/>
      <c r="B669" s="205"/>
      <c r="C669" s="205"/>
      <c r="D669" s="205"/>
      <c r="E669" s="205"/>
      <c r="F669" s="205"/>
    </row>
    <row r="670" ht="13.5" customHeight="1">
      <c r="A670" s="182"/>
      <c r="B670" s="205"/>
      <c r="C670" s="205"/>
      <c r="D670" s="205"/>
      <c r="E670" s="205"/>
      <c r="F670" s="205"/>
    </row>
    <row r="671" ht="13.5" customHeight="1">
      <c r="A671" s="182"/>
      <c r="B671" s="205"/>
      <c r="C671" s="205"/>
      <c r="D671" s="205"/>
      <c r="E671" s="205"/>
      <c r="F671" s="205"/>
    </row>
    <row r="672" ht="13.5" customHeight="1">
      <c r="A672" s="182"/>
      <c r="B672" s="205"/>
      <c r="C672" s="205"/>
      <c r="D672" s="205"/>
      <c r="E672" s="205"/>
      <c r="F672" s="205"/>
    </row>
    <row r="673" ht="13.5" customHeight="1">
      <c r="A673" s="182"/>
      <c r="B673" s="205"/>
      <c r="C673" s="205"/>
      <c r="D673" s="205"/>
      <c r="E673" s="205"/>
      <c r="F673" s="205"/>
    </row>
    <row r="674" ht="13.5" customHeight="1">
      <c r="A674" s="182"/>
      <c r="B674" s="205"/>
      <c r="C674" s="205"/>
      <c r="D674" s="205"/>
      <c r="E674" s="205"/>
      <c r="F674" s="205"/>
    </row>
    <row r="675" ht="13.5" customHeight="1">
      <c r="A675" s="182"/>
      <c r="B675" s="205"/>
      <c r="C675" s="205"/>
      <c r="D675" s="205"/>
      <c r="E675" s="205"/>
      <c r="F675" s="205"/>
    </row>
    <row r="676" ht="13.5" customHeight="1">
      <c r="A676" s="182"/>
      <c r="B676" s="205"/>
      <c r="C676" s="205"/>
      <c r="D676" s="205"/>
      <c r="E676" s="205"/>
      <c r="F676" s="205"/>
    </row>
    <row r="677" ht="13.5" customHeight="1">
      <c r="A677" s="182"/>
      <c r="B677" s="205"/>
      <c r="C677" s="205"/>
      <c r="D677" s="205"/>
      <c r="E677" s="205"/>
      <c r="F677" s="205"/>
    </row>
    <row r="678" ht="13.5" customHeight="1">
      <c r="A678" s="182"/>
      <c r="B678" s="205"/>
      <c r="C678" s="205"/>
      <c r="D678" s="205"/>
      <c r="E678" s="205"/>
      <c r="F678" s="205"/>
    </row>
    <row r="679" ht="13.5" customHeight="1">
      <c r="A679" s="182"/>
      <c r="B679" s="205"/>
      <c r="C679" s="205"/>
      <c r="D679" s="205"/>
      <c r="E679" s="205"/>
      <c r="F679" s="205"/>
    </row>
    <row r="680" ht="13.5" customHeight="1">
      <c r="A680" s="182"/>
      <c r="B680" s="205"/>
      <c r="C680" s="205"/>
      <c r="D680" s="205"/>
      <c r="E680" s="205"/>
      <c r="F680" s="205"/>
    </row>
    <row r="681" ht="13.5" customHeight="1">
      <c r="A681" s="182"/>
      <c r="B681" s="205"/>
      <c r="C681" s="205"/>
      <c r="D681" s="205"/>
      <c r="E681" s="205"/>
      <c r="F681" s="205"/>
    </row>
    <row r="682" ht="13.5" customHeight="1">
      <c r="A682" s="182"/>
      <c r="B682" s="205"/>
      <c r="C682" s="205"/>
      <c r="D682" s="205"/>
      <c r="E682" s="205"/>
      <c r="F682" s="205"/>
    </row>
    <row r="683" ht="13.5" customHeight="1">
      <c r="A683" s="182"/>
      <c r="B683" s="205"/>
      <c r="C683" s="205"/>
      <c r="D683" s="205"/>
      <c r="E683" s="205"/>
      <c r="F683" s="205"/>
    </row>
    <row r="684" ht="13.5" customHeight="1">
      <c r="A684" s="182"/>
      <c r="B684" s="205"/>
      <c r="C684" s="205"/>
      <c r="D684" s="205"/>
      <c r="E684" s="205"/>
      <c r="F684" s="205"/>
    </row>
    <row r="685" ht="13.5" customHeight="1">
      <c r="A685" s="182"/>
      <c r="B685" s="205"/>
      <c r="C685" s="205"/>
      <c r="D685" s="205"/>
      <c r="E685" s="205"/>
      <c r="F685" s="205"/>
    </row>
    <row r="686" ht="13.5" customHeight="1">
      <c r="A686" s="182"/>
      <c r="B686" s="205"/>
      <c r="C686" s="205"/>
      <c r="D686" s="205"/>
      <c r="E686" s="205"/>
      <c r="F686" s="205"/>
    </row>
    <row r="687" ht="13.5" customHeight="1">
      <c r="A687" s="182"/>
      <c r="B687" s="205"/>
      <c r="C687" s="205"/>
      <c r="D687" s="205"/>
      <c r="E687" s="205"/>
      <c r="F687" s="205"/>
    </row>
    <row r="688" ht="13.5" customHeight="1">
      <c r="A688" s="182"/>
      <c r="B688" s="205"/>
      <c r="C688" s="205"/>
      <c r="D688" s="205"/>
      <c r="E688" s="205"/>
      <c r="F688" s="205"/>
    </row>
    <row r="689" ht="13.5" customHeight="1">
      <c r="A689" s="182"/>
      <c r="B689" s="205"/>
      <c r="C689" s="205"/>
      <c r="D689" s="205"/>
      <c r="E689" s="205"/>
      <c r="F689" s="205"/>
    </row>
    <row r="690" ht="13.5" customHeight="1">
      <c r="A690" s="182"/>
      <c r="B690" s="205"/>
      <c r="C690" s="205"/>
      <c r="D690" s="205"/>
      <c r="E690" s="205"/>
      <c r="F690" s="205"/>
    </row>
    <row r="691" ht="13.5" customHeight="1">
      <c r="A691" s="182"/>
      <c r="B691" s="205"/>
      <c r="C691" s="205"/>
      <c r="D691" s="205"/>
      <c r="E691" s="205"/>
      <c r="F691" s="205"/>
    </row>
    <row r="692" ht="13.5" customHeight="1">
      <c r="A692" s="182"/>
      <c r="B692" s="205"/>
      <c r="C692" s="205"/>
      <c r="D692" s="205"/>
      <c r="E692" s="205"/>
      <c r="F692" s="205"/>
    </row>
    <row r="693" ht="13.5" customHeight="1">
      <c r="A693" s="182"/>
      <c r="B693" s="205"/>
      <c r="C693" s="205"/>
      <c r="D693" s="205"/>
      <c r="E693" s="205"/>
      <c r="F693" s="205"/>
    </row>
    <row r="694" ht="13.5" customHeight="1">
      <c r="A694" s="182"/>
      <c r="B694" s="205"/>
      <c r="C694" s="205"/>
      <c r="D694" s="205"/>
      <c r="E694" s="205"/>
      <c r="F694" s="205"/>
    </row>
    <row r="695" ht="13.5" customHeight="1">
      <c r="A695" s="182"/>
      <c r="B695" s="205"/>
      <c r="C695" s="205"/>
      <c r="D695" s="205"/>
      <c r="E695" s="205"/>
      <c r="F695" s="205"/>
    </row>
    <row r="696" ht="13.5" customHeight="1">
      <c r="A696" s="182"/>
      <c r="B696" s="205"/>
      <c r="C696" s="205"/>
      <c r="D696" s="205"/>
      <c r="E696" s="205"/>
      <c r="F696" s="205"/>
    </row>
    <row r="697" ht="13.5" customHeight="1">
      <c r="A697" s="182"/>
      <c r="B697" s="205"/>
      <c r="C697" s="205"/>
      <c r="D697" s="205"/>
      <c r="E697" s="205"/>
      <c r="F697" s="205"/>
    </row>
    <row r="698" ht="13.5" customHeight="1">
      <c r="A698" s="182"/>
      <c r="B698" s="205"/>
      <c r="C698" s="205"/>
      <c r="D698" s="205"/>
      <c r="E698" s="205"/>
      <c r="F698" s="205"/>
    </row>
    <row r="699" ht="13.5" customHeight="1">
      <c r="A699" s="182"/>
      <c r="B699" s="205"/>
      <c r="C699" s="205"/>
      <c r="D699" s="205"/>
      <c r="E699" s="205"/>
      <c r="F699" s="205"/>
    </row>
    <row r="700" ht="13.5" customHeight="1">
      <c r="A700" s="182"/>
      <c r="B700" s="205"/>
      <c r="C700" s="205"/>
      <c r="D700" s="205"/>
      <c r="E700" s="205"/>
      <c r="F700" s="205"/>
    </row>
    <row r="701" ht="13.5" customHeight="1">
      <c r="A701" s="182"/>
      <c r="B701" s="205"/>
      <c r="C701" s="205"/>
      <c r="D701" s="205"/>
      <c r="E701" s="205"/>
      <c r="F701" s="205"/>
    </row>
    <row r="702" ht="13.5" customHeight="1">
      <c r="A702" s="182"/>
      <c r="B702" s="205"/>
      <c r="C702" s="205"/>
      <c r="D702" s="205"/>
      <c r="E702" s="205"/>
      <c r="F702" s="205"/>
    </row>
    <row r="703" ht="13.5" customHeight="1">
      <c r="A703" s="182"/>
      <c r="B703" s="205"/>
      <c r="C703" s="205"/>
      <c r="D703" s="205"/>
      <c r="E703" s="205"/>
      <c r="F703" s="205"/>
    </row>
    <row r="704" ht="13.5" customHeight="1">
      <c r="A704" s="182"/>
      <c r="B704" s="205"/>
      <c r="C704" s="205"/>
      <c r="D704" s="205"/>
      <c r="E704" s="205"/>
      <c r="F704" s="205"/>
    </row>
    <row r="705" ht="13.5" customHeight="1">
      <c r="A705" s="182"/>
      <c r="B705" s="205"/>
      <c r="C705" s="205"/>
      <c r="D705" s="205"/>
      <c r="E705" s="205"/>
      <c r="F705" s="205"/>
    </row>
    <row r="706" ht="13.5" customHeight="1">
      <c r="A706" s="182"/>
      <c r="B706" s="205"/>
      <c r="C706" s="205"/>
      <c r="D706" s="205"/>
      <c r="E706" s="205"/>
      <c r="F706" s="205"/>
    </row>
    <row r="707" ht="13.5" customHeight="1">
      <c r="A707" s="182"/>
      <c r="B707" s="205"/>
      <c r="C707" s="205"/>
      <c r="D707" s="205"/>
      <c r="E707" s="205"/>
      <c r="F707" s="205"/>
    </row>
    <row r="708" ht="13.5" customHeight="1">
      <c r="A708" s="182"/>
      <c r="B708" s="205"/>
      <c r="C708" s="205"/>
      <c r="D708" s="205"/>
      <c r="E708" s="205"/>
      <c r="F708" s="205"/>
    </row>
    <row r="709" ht="13.5" customHeight="1">
      <c r="A709" s="182"/>
      <c r="B709" s="205"/>
      <c r="C709" s="205"/>
      <c r="D709" s="205"/>
      <c r="E709" s="205"/>
      <c r="F709" s="205"/>
    </row>
    <row r="710" ht="13.5" customHeight="1">
      <c r="A710" s="182"/>
      <c r="B710" s="205"/>
      <c r="C710" s="205"/>
      <c r="D710" s="205"/>
      <c r="E710" s="205"/>
      <c r="F710" s="205"/>
    </row>
    <row r="711" ht="13.5" customHeight="1">
      <c r="A711" s="182"/>
      <c r="B711" s="205"/>
      <c r="C711" s="205"/>
      <c r="D711" s="205"/>
      <c r="E711" s="205"/>
      <c r="F711" s="205"/>
    </row>
    <row r="712" ht="13.5" customHeight="1">
      <c r="A712" s="182"/>
      <c r="B712" s="205"/>
      <c r="C712" s="205"/>
      <c r="D712" s="205"/>
      <c r="E712" s="205"/>
      <c r="F712" s="205"/>
    </row>
    <row r="713" ht="13.5" customHeight="1">
      <c r="A713" s="182"/>
      <c r="B713" s="205"/>
      <c r="C713" s="205"/>
      <c r="D713" s="205"/>
      <c r="E713" s="205"/>
      <c r="F713" s="205"/>
    </row>
    <row r="714" ht="13.5" customHeight="1">
      <c r="A714" s="182"/>
      <c r="B714" s="205"/>
      <c r="C714" s="205"/>
      <c r="D714" s="205"/>
      <c r="E714" s="205"/>
      <c r="F714" s="205"/>
    </row>
    <row r="715" ht="13.5" customHeight="1">
      <c r="A715" s="182"/>
      <c r="B715" s="205"/>
      <c r="C715" s="205"/>
      <c r="D715" s="205"/>
      <c r="E715" s="205"/>
      <c r="F715" s="205"/>
    </row>
    <row r="716" ht="13.5" customHeight="1">
      <c r="A716" s="182"/>
      <c r="B716" s="205"/>
      <c r="C716" s="205"/>
      <c r="D716" s="205"/>
      <c r="E716" s="205"/>
      <c r="F716" s="205"/>
    </row>
    <row r="717" ht="13.5" customHeight="1">
      <c r="A717" s="182"/>
      <c r="B717" s="205"/>
      <c r="C717" s="205"/>
      <c r="D717" s="205"/>
      <c r="E717" s="205"/>
      <c r="F717" s="205"/>
    </row>
    <row r="718" ht="13.5" customHeight="1">
      <c r="A718" s="182"/>
      <c r="B718" s="205"/>
      <c r="C718" s="205"/>
      <c r="D718" s="205"/>
      <c r="E718" s="205"/>
      <c r="F718" s="205"/>
    </row>
    <row r="719" ht="13.5" customHeight="1">
      <c r="A719" s="182"/>
      <c r="B719" s="205"/>
      <c r="C719" s="205"/>
      <c r="D719" s="205"/>
      <c r="E719" s="205"/>
      <c r="F719" s="205"/>
    </row>
    <row r="720" ht="13.5" customHeight="1">
      <c r="A720" s="182"/>
      <c r="B720" s="205"/>
      <c r="C720" s="205"/>
      <c r="D720" s="205"/>
      <c r="E720" s="205"/>
      <c r="F720" s="205"/>
    </row>
    <row r="721" ht="13.5" customHeight="1">
      <c r="A721" s="182"/>
      <c r="B721" s="205"/>
      <c r="C721" s="205"/>
      <c r="D721" s="205"/>
      <c r="E721" s="205"/>
      <c r="F721" s="205"/>
    </row>
    <row r="722" ht="13.5" customHeight="1">
      <c r="A722" s="182"/>
      <c r="B722" s="205"/>
      <c r="C722" s="205"/>
      <c r="D722" s="205"/>
      <c r="E722" s="205"/>
      <c r="F722" s="205"/>
    </row>
    <row r="723" ht="13.5" customHeight="1">
      <c r="A723" s="182"/>
      <c r="B723" s="205"/>
      <c r="C723" s="205"/>
      <c r="D723" s="205"/>
      <c r="E723" s="205"/>
      <c r="F723" s="205"/>
    </row>
    <row r="724" ht="13.5" customHeight="1">
      <c r="A724" s="182"/>
      <c r="B724" s="205"/>
      <c r="C724" s="205"/>
      <c r="D724" s="205"/>
      <c r="E724" s="205"/>
      <c r="F724" s="205"/>
    </row>
    <row r="725" ht="13.5" customHeight="1">
      <c r="A725" s="182"/>
      <c r="B725" s="205"/>
      <c r="C725" s="205"/>
      <c r="D725" s="205"/>
      <c r="E725" s="205"/>
      <c r="F725" s="205"/>
    </row>
    <row r="726" ht="13.5" customHeight="1">
      <c r="A726" s="182"/>
      <c r="B726" s="205"/>
      <c r="C726" s="205"/>
      <c r="D726" s="205"/>
      <c r="E726" s="205"/>
      <c r="F726" s="205"/>
    </row>
    <row r="727" ht="13.5" customHeight="1">
      <c r="A727" s="182"/>
      <c r="B727" s="205"/>
      <c r="C727" s="205"/>
      <c r="D727" s="205"/>
      <c r="E727" s="205"/>
      <c r="F727" s="205"/>
    </row>
    <row r="728" ht="13.5" customHeight="1">
      <c r="A728" s="182"/>
      <c r="B728" s="205"/>
      <c r="C728" s="205"/>
      <c r="D728" s="205"/>
      <c r="E728" s="205"/>
      <c r="F728" s="205"/>
    </row>
    <row r="729" ht="13.5" customHeight="1">
      <c r="A729" s="182"/>
      <c r="B729" s="205"/>
      <c r="C729" s="205"/>
      <c r="D729" s="205"/>
      <c r="E729" s="205"/>
      <c r="F729" s="205"/>
    </row>
    <row r="730" ht="13.5" customHeight="1">
      <c r="A730" s="182"/>
      <c r="B730" s="205"/>
      <c r="C730" s="205"/>
      <c r="D730" s="205"/>
      <c r="E730" s="205"/>
      <c r="F730" s="205"/>
    </row>
    <row r="731" ht="13.5" customHeight="1">
      <c r="A731" s="182"/>
      <c r="B731" s="205"/>
      <c r="C731" s="205"/>
      <c r="D731" s="205"/>
      <c r="E731" s="205"/>
      <c r="F731" s="205"/>
    </row>
    <row r="732" ht="13.5" customHeight="1">
      <c r="A732" s="182"/>
      <c r="B732" s="205"/>
      <c r="C732" s="205"/>
      <c r="D732" s="205"/>
      <c r="E732" s="205"/>
      <c r="F732" s="205"/>
    </row>
    <row r="733" ht="13.5" customHeight="1">
      <c r="A733" s="182"/>
      <c r="B733" s="205"/>
      <c r="C733" s="205"/>
      <c r="D733" s="205"/>
      <c r="E733" s="205"/>
      <c r="F733" s="205"/>
    </row>
    <row r="734" ht="13.5" customHeight="1">
      <c r="A734" s="182"/>
      <c r="B734" s="205"/>
      <c r="C734" s="205"/>
      <c r="D734" s="205"/>
      <c r="E734" s="205"/>
      <c r="F734" s="205"/>
    </row>
    <row r="735" ht="13.5" customHeight="1">
      <c r="A735" s="182"/>
      <c r="B735" s="205"/>
      <c r="C735" s="205"/>
      <c r="D735" s="205"/>
      <c r="E735" s="205"/>
      <c r="F735" s="205"/>
    </row>
    <row r="736" ht="13.5" customHeight="1">
      <c r="A736" s="182"/>
      <c r="B736" s="205"/>
      <c r="C736" s="205"/>
      <c r="D736" s="205"/>
      <c r="E736" s="205"/>
      <c r="F736" s="205"/>
    </row>
    <row r="737" ht="13.5" customHeight="1">
      <c r="A737" s="182"/>
      <c r="B737" s="205"/>
      <c r="C737" s="205"/>
      <c r="D737" s="205"/>
      <c r="E737" s="205"/>
      <c r="F737" s="205"/>
    </row>
    <row r="738" ht="13.5" customHeight="1">
      <c r="A738" s="182"/>
      <c r="B738" s="205"/>
      <c r="C738" s="205"/>
      <c r="D738" s="205"/>
      <c r="E738" s="205"/>
      <c r="F738" s="205"/>
    </row>
    <row r="739" ht="13.5" customHeight="1">
      <c r="A739" s="182"/>
      <c r="B739" s="205"/>
      <c r="C739" s="205"/>
      <c r="D739" s="205"/>
      <c r="E739" s="205"/>
      <c r="F739" s="205"/>
    </row>
    <row r="740" ht="13.5" customHeight="1">
      <c r="A740" s="182"/>
      <c r="B740" s="205"/>
      <c r="C740" s="205"/>
      <c r="D740" s="205"/>
      <c r="E740" s="205"/>
      <c r="F740" s="205"/>
    </row>
    <row r="741" ht="13.5" customHeight="1">
      <c r="A741" s="182"/>
      <c r="B741" s="205"/>
      <c r="C741" s="205"/>
      <c r="D741" s="205"/>
      <c r="E741" s="205"/>
      <c r="F741" s="205"/>
    </row>
    <row r="742" ht="13.5" customHeight="1">
      <c r="A742" s="182"/>
      <c r="B742" s="205"/>
      <c r="C742" s="205"/>
      <c r="D742" s="205"/>
      <c r="E742" s="205"/>
      <c r="F742" s="205"/>
    </row>
    <row r="743" ht="13.5" customHeight="1">
      <c r="A743" s="182"/>
      <c r="B743" s="205"/>
      <c r="C743" s="205"/>
      <c r="D743" s="205"/>
      <c r="E743" s="205"/>
      <c r="F743" s="205"/>
    </row>
    <row r="744" ht="13.5" customHeight="1">
      <c r="A744" s="182"/>
      <c r="B744" s="205"/>
      <c r="C744" s="205"/>
      <c r="D744" s="205"/>
      <c r="E744" s="205"/>
      <c r="F744" s="205"/>
    </row>
    <row r="745" ht="13.5" customHeight="1">
      <c r="A745" s="182"/>
      <c r="B745" s="205"/>
      <c r="C745" s="205"/>
      <c r="D745" s="205"/>
      <c r="E745" s="205"/>
      <c r="F745" s="205"/>
    </row>
    <row r="746" ht="13.5" customHeight="1">
      <c r="A746" s="182"/>
      <c r="B746" s="205"/>
      <c r="C746" s="205"/>
      <c r="D746" s="205"/>
      <c r="E746" s="205"/>
      <c r="F746" s="205"/>
    </row>
    <row r="747" ht="13.5" customHeight="1">
      <c r="A747" s="182"/>
      <c r="B747" s="205"/>
      <c r="C747" s="205"/>
      <c r="D747" s="205"/>
      <c r="E747" s="205"/>
      <c r="F747" s="205"/>
    </row>
    <row r="748" ht="13.5" customHeight="1">
      <c r="A748" s="182"/>
      <c r="B748" s="205"/>
      <c r="C748" s="205"/>
      <c r="D748" s="205"/>
      <c r="E748" s="205"/>
      <c r="F748" s="205"/>
    </row>
    <row r="749" ht="13.5" customHeight="1">
      <c r="A749" s="182"/>
      <c r="B749" s="205"/>
      <c r="C749" s="205"/>
      <c r="D749" s="205"/>
      <c r="E749" s="205"/>
      <c r="F749" s="205"/>
    </row>
    <row r="750" ht="13.5" customHeight="1">
      <c r="A750" s="182"/>
      <c r="B750" s="205"/>
      <c r="C750" s="205"/>
      <c r="D750" s="205"/>
      <c r="E750" s="205"/>
      <c r="F750" s="205"/>
    </row>
    <row r="751" ht="13.5" customHeight="1">
      <c r="A751" s="182"/>
      <c r="B751" s="205"/>
      <c r="C751" s="205"/>
      <c r="D751" s="205"/>
      <c r="E751" s="205"/>
      <c r="F751" s="205"/>
    </row>
    <row r="752" ht="13.5" customHeight="1">
      <c r="A752" s="182"/>
      <c r="B752" s="205"/>
      <c r="C752" s="205"/>
      <c r="D752" s="205"/>
      <c r="E752" s="205"/>
      <c r="F752" s="205"/>
    </row>
    <row r="753" ht="13.5" customHeight="1">
      <c r="A753" s="182"/>
      <c r="B753" s="205"/>
      <c r="C753" s="205"/>
      <c r="D753" s="205"/>
      <c r="E753" s="205"/>
      <c r="F753" s="205"/>
    </row>
    <row r="754" ht="13.5" customHeight="1">
      <c r="A754" s="182"/>
      <c r="B754" s="205"/>
      <c r="C754" s="205"/>
      <c r="D754" s="205"/>
      <c r="E754" s="205"/>
      <c r="F754" s="205"/>
    </row>
    <row r="755" ht="13.5" customHeight="1">
      <c r="A755" s="182"/>
      <c r="B755" s="205"/>
      <c r="C755" s="205"/>
      <c r="D755" s="205"/>
      <c r="E755" s="205"/>
      <c r="F755" s="205"/>
    </row>
    <row r="756" ht="13.5" customHeight="1">
      <c r="A756" s="182"/>
      <c r="B756" s="205"/>
      <c r="C756" s="205"/>
      <c r="D756" s="205"/>
      <c r="E756" s="205"/>
      <c r="F756" s="205"/>
    </row>
    <row r="757" ht="13.5" customHeight="1">
      <c r="A757" s="182"/>
      <c r="B757" s="205"/>
      <c r="C757" s="205"/>
      <c r="D757" s="205"/>
      <c r="E757" s="205"/>
      <c r="F757" s="205"/>
    </row>
    <row r="758" ht="13.5" customHeight="1">
      <c r="A758" s="182"/>
      <c r="B758" s="205"/>
      <c r="C758" s="205"/>
      <c r="D758" s="205"/>
      <c r="E758" s="205"/>
      <c r="F758" s="205"/>
    </row>
    <row r="759" ht="13.5" customHeight="1">
      <c r="A759" s="182"/>
      <c r="B759" s="205"/>
      <c r="C759" s="205"/>
      <c r="D759" s="205"/>
      <c r="E759" s="205"/>
      <c r="F759" s="205"/>
    </row>
    <row r="760" ht="13.5" customHeight="1">
      <c r="A760" s="182"/>
      <c r="B760" s="205"/>
      <c r="C760" s="205"/>
      <c r="D760" s="205"/>
      <c r="E760" s="205"/>
      <c r="F760" s="205"/>
    </row>
    <row r="761" ht="13.5" customHeight="1">
      <c r="A761" s="182"/>
      <c r="B761" s="205"/>
      <c r="C761" s="205"/>
      <c r="D761" s="205"/>
      <c r="E761" s="205"/>
      <c r="F761" s="205"/>
    </row>
    <row r="762" ht="13.5" customHeight="1">
      <c r="A762" s="182"/>
      <c r="B762" s="205"/>
      <c r="C762" s="205"/>
      <c r="D762" s="205"/>
      <c r="E762" s="205"/>
      <c r="F762" s="205"/>
    </row>
    <row r="763" ht="13.5" customHeight="1">
      <c r="A763" s="182"/>
      <c r="B763" s="205"/>
      <c r="C763" s="205"/>
      <c r="D763" s="205"/>
      <c r="E763" s="205"/>
      <c r="F763" s="205"/>
    </row>
    <row r="764" ht="13.5" customHeight="1">
      <c r="A764" s="182"/>
      <c r="B764" s="205"/>
      <c r="C764" s="205"/>
      <c r="D764" s="205"/>
      <c r="E764" s="205"/>
      <c r="F764" s="205"/>
    </row>
    <row r="765" ht="13.5" customHeight="1">
      <c r="A765" s="182"/>
      <c r="B765" s="205"/>
      <c r="C765" s="205"/>
      <c r="D765" s="205"/>
      <c r="E765" s="205"/>
      <c r="F765" s="205"/>
    </row>
    <row r="766" ht="13.5" customHeight="1">
      <c r="A766" s="182"/>
      <c r="B766" s="205"/>
      <c r="C766" s="205"/>
      <c r="D766" s="205"/>
      <c r="E766" s="205"/>
      <c r="F766" s="205"/>
    </row>
    <row r="767" ht="13.5" customHeight="1">
      <c r="A767" s="182"/>
      <c r="B767" s="205"/>
      <c r="C767" s="205"/>
      <c r="D767" s="205"/>
      <c r="E767" s="205"/>
      <c r="F767" s="205"/>
    </row>
    <row r="768" ht="13.5" customHeight="1">
      <c r="A768" s="182"/>
      <c r="B768" s="205"/>
      <c r="C768" s="205"/>
      <c r="D768" s="205"/>
      <c r="E768" s="205"/>
      <c r="F768" s="205"/>
    </row>
    <row r="769" ht="13.5" customHeight="1">
      <c r="A769" s="182"/>
      <c r="B769" s="205"/>
      <c r="C769" s="205"/>
      <c r="D769" s="205"/>
      <c r="E769" s="205"/>
      <c r="F769" s="205"/>
    </row>
    <row r="770" ht="13.5" customHeight="1">
      <c r="A770" s="182"/>
      <c r="B770" s="205"/>
      <c r="C770" s="205"/>
      <c r="D770" s="205"/>
      <c r="E770" s="205"/>
      <c r="F770" s="205"/>
    </row>
    <row r="771" ht="13.5" customHeight="1">
      <c r="A771" s="182"/>
      <c r="B771" s="205"/>
      <c r="C771" s="205"/>
      <c r="D771" s="205"/>
      <c r="E771" s="205"/>
      <c r="F771" s="205"/>
    </row>
    <row r="772" ht="13.5" customHeight="1">
      <c r="A772" s="182"/>
      <c r="B772" s="205"/>
      <c r="C772" s="205"/>
      <c r="D772" s="205"/>
      <c r="E772" s="205"/>
      <c r="F772" s="205"/>
    </row>
    <row r="773" ht="13.5" customHeight="1">
      <c r="A773" s="182"/>
      <c r="B773" s="205"/>
      <c r="C773" s="205"/>
      <c r="D773" s="205"/>
      <c r="E773" s="205"/>
      <c r="F773" s="205"/>
    </row>
    <row r="774" ht="13.5" customHeight="1">
      <c r="A774" s="182"/>
      <c r="B774" s="205"/>
      <c r="C774" s="205"/>
      <c r="D774" s="205"/>
      <c r="E774" s="205"/>
      <c r="F774" s="205"/>
    </row>
    <row r="775" ht="13.5" customHeight="1">
      <c r="A775" s="182"/>
      <c r="B775" s="205"/>
      <c r="C775" s="205"/>
      <c r="D775" s="205"/>
      <c r="E775" s="205"/>
      <c r="F775" s="205"/>
    </row>
    <row r="776" ht="13.5" customHeight="1">
      <c r="A776" s="182"/>
      <c r="B776" s="205"/>
      <c r="C776" s="205"/>
      <c r="D776" s="205"/>
      <c r="E776" s="205"/>
      <c r="F776" s="205"/>
    </row>
    <row r="777" ht="13.5" customHeight="1">
      <c r="A777" s="182"/>
      <c r="B777" s="205"/>
      <c r="C777" s="205"/>
      <c r="D777" s="205"/>
      <c r="E777" s="205"/>
      <c r="F777" s="205"/>
    </row>
    <row r="778" ht="13.5" customHeight="1">
      <c r="A778" s="182"/>
      <c r="B778" s="205"/>
      <c r="C778" s="205"/>
      <c r="D778" s="205"/>
      <c r="E778" s="205"/>
      <c r="F778" s="205"/>
    </row>
    <row r="779" ht="13.5" customHeight="1">
      <c r="A779" s="182"/>
      <c r="B779" s="205"/>
      <c r="C779" s="205"/>
      <c r="D779" s="205"/>
      <c r="E779" s="205"/>
      <c r="F779" s="205"/>
    </row>
    <row r="780" ht="13.5" customHeight="1">
      <c r="A780" s="182"/>
      <c r="B780" s="205"/>
      <c r="C780" s="205"/>
      <c r="D780" s="205"/>
      <c r="E780" s="205"/>
      <c r="F780" s="205"/>
    </row>
    <row r="781" ht="13.5" customHeight="1">
      <c r="A781" s="182"/>
      <c r="B781" s="205"/>
      <c r="C781" s="205"/>
      <c r="D781" s="205"/>
      <c r="E781" s="205"/>
      <c r="F781" s="205"/>
    </row>
    <row r="782" ht="13.5" customHeight="1">
      <c r="A782" s="182"/>
      <c r="B782" s="205"/>
      <c r="C782" s="205"/>
      <c r="D782" s="205"/>
      <c r="E782" s="205"/>
      <c r="F782" s="205"/>
    </row>
    <row r="783" ht="13.5" customHeight="1">
      <c r="A783" s="182"/>
      <c r="B783" s="205"/>
      <c r="C783" s="205"/>
      <c r="D783" s="205"/>
      <c r="E783" s="205"/>
      <c r="F783" s="205"/>
    </row>
    <row r="784" ht="13.5" customHeight="1">
      <c r="A784" s="182"/>
      <c r="B784" s="205"/>
      <c r="C784" s="205"/>
      <c r="D784" s="205"/>
      <c r="E784" s="205"/>
      <c r="F784" s="205"/>
    </row>
    <row r="785" ht="13.5" customHeight="1">
      <c r="A785" s="182"/>
      <c r="B785" s="205"/>
      <c r="C785" s="205"/>
      <c r="D785" s="205"/>
      <c r="E785" s="205"/>
      <c r="F785" s="205"/>
    </row>
    <row r="786" ht="13.5" customHeight="1">
      <c r="A786" s="182"/>
      <c r="B786" s="205"/>
      <c r="C786" s="205"/>
      <c r="D786" s="205"/>
      <c r="E786" s="205"/>
      <c r="F786" s="205"/>
    </row>
    <row r="787" ht="13.5" customHeight="1">
      <c r="A787" s="182"/>
      <c r="B787" s="205"/>
      <c r="C787" s="205"/>
      <c r="D787" s="205"/>
      <c r="E787" s="205"/>
      <c r="F787" s="205"/>
    </row>
    <row r="788" ht="13.5" customHeight="1">
      <c r="A788" s="182"/>
      <c r="B788" s="205"/>
      <c r="C788" s="205"/>
      <c r="D788" s="205"/>
      <c r="E788" s="205"/>
      <c r="F788" s="205"/>
    </row>
    <row r="789" ht="13.5" customHeight="1">
      <c r="A789" s="182"/>
      <c r="B789" s="205"/>
      <c r="C789" s="205"/>
      <c r="D789" s="205"/>
      <c r="E789" s="205"/>
      <c r="F789" s="205"/>
    </row>
    <row r="790" ht="13.5" customHeight="1">
      <c r="A790" s="182"/>
      <c r="B790" s="205"/>
      <c r="C790" s="205"/>
      <c r="D790" s="205"/>
      <c r="E790" s="205"/>
      <c r="F790" s="205"/>
    </row>
    <row r="791" ht="13.5" customHeight="1">
      <c r="A791" s="182"/>
      <c r="B791" s="205"/>
      <c r="C791" s="205"/>
      <c r="D791" s="205"/>
      <c r="E791" s="205"/>
      <c r="F791" s="205"/>
    </row>
    <row r="792" ht="13.5" customHeight="1">
      <c r="A792" s="182"/>
      <c r="B792" s="205"/>
      <c r="C792" s="205"/>
      <c r="D792" s="205"/>
      <c r="E792" s="205"/>
      <c r="F792" s="205"/>
    </row>
    <row r="793" ht="13.5" customHeight="1">
      <c r="A793" s="182"/>
      <c r="B793" s="205"/>
      <c r="C793" s="205"/>
      <c r="D793" s="205"/>
      <c r="E793" s="205"/>
      <c r="F793" s="205"/>
    </row>
    <row r="794" ht="13.5" customHeight="1">
      <c r="A794" s="182"/>
      <c r="B794" s="205"/>
      <c r="C794" s="205"/>
      <c r="D794" s="205"/>
      <c r="E794" s="205"/>
      <c r="F794" s="205"/>
    </row>
    <row r="795" ht="13.5" customHeight="1">
      <c r="A795" s="182"/>
      <c r="B795" s="205"/>
      <c r="C795" s="205"/>
      <c r="D795" s="205"/>
      <c r="E795" s="205"/>
      <c r="F795" s="205"/>
    </row>
    <row r="796" ht="13.5" customHeight="1">
      <c r="A796" s="182"/>
      <c r="B796" s="205"/>
      <c r="C796" s="205"/>
      <c r="D796" s="205"/>
      <c r="E796" s="205"/>
      <c r="F796" s="205"/>
    </row>
    <row r="797" ht="13.5" customHeight="1">
      <c r="A797" s="182"/>
      <c r="B797" s="205"/>
      <c r="C797" s="205"/>
      <c r="D797" s="205"/>
      <c r="E797" s="205"/>
      <c r="F797" s="205"/>
    </row>
    <row r="798" ht="13.5" customHeight="1">
      <c r="A798" s="182"/>
      <c r="B798" s="205"/>
      <c r="C798" s="205"/>
      <c r="D798" s="205"/>
      <c r="E798" s="205"/>
      <c r="F798" s="205"/>
    </row>
    <row r="799" ht="13.5" customHeight="1">
      <c r="A799" s="182"/>
      <c r="B799" s="205"/>
      <c r="C799" s="205"/>
      <c r="D799" s="205"/>
      <c r="E799" s="205"/>
      <c r="F799" s="205"/>
    </row>
    <row r="800" ht="13.5" customHeight="1">
      <c r="A800" s="182"/>
      <c r="B800" s="205"/>
      <c r="C800" s="205"/>
      <c r="D800" s="205"/>
      <c r="E800" s="205"/>
      <c r="F800" s="205"/>
    </row>
    <row r="801" ht="13.5" customHeight="1">
      <c r="A801" s="182"/>
      <c r="B801" s="205"/>
      <c r="C801" s="205"/>
      <c r="D801" s="205"/>
      <c r="E801" s="205"/>
      <c r="F801" s="205"/>
    </row>
    <row r="802" ht="13.5" customHeight="1">
      <c r="A802" s="182"/>
      <c r="B802" s="205"/>
      <c r="C802" s="205"/>
      <c r="D802" s="205"/>
      <c r="E802" s="205"/>
      <c r="F802" s="205"/>
    </row>
    <row r="803" ht="13.5" customHeight="1">
      <c r="A803" s="182"/>
      <c r="B803" s="205"/>
      <c r="C803" s="205"/>
      <c r="D803" s="205"/>
      <c r="E803" s="205"/>
      <c r="F803" s="205"/>
    </row>
    <row r="804" ht="13.5" customHeight="1">
      <c r="A804" s="182"/>
      <c r="B804" s="205"/>
      <c r="C804" s="205"/>
      <c r="D804" s="205"/>
      <c r="E804" s="205"/>
      <c r="F804" s="205"/>
    </row>
    <row r="805" ht="13.5" customHeight="1">
      <c r="A805" s="182"/>
      <c r="B805" s="205"/>
      <c r="C805" s="205"/>
      <c r="D805" s="205"/>
      <c r="E805" s="205"/>
      <c r="F805" s="205"/>
    </row>
    <row r="806" ht="13.5" customHeight="1">
      <c r="A806" s="182"/>
      <c r="B806" s="205"/>
      <c r="C806" s="205"/>
      <c r="D806" s="205"/>
      <c r="E806" s="205"/>
      <c r="F806" s="205"/>
    </row>
    <row r="807" ht="13.5" customHeight="1">
      <c r="A807" s="182"/>
      <c r="B807" s="205"/>
      <c r="C807" s="205"/>
      <c r="D807" s="205"/>
      <c r="E807" s="205"/>
      <c r="F807" s="205"/>
    </row>
    <row r="808" ht="13.5" customHeight="1">
      <c r="A808" s="182"/>
      <c r="B808" s="205"/>
      <c r="C808" s="205"/>
      <c r="D808" s="205"/>
      <c r="E808" s="205"/>
      <c r="F808" s="205"/>
    </row>
    <row r="809" ht="13.5" customHeight="1">
      <c r="A809" s="182"/>
      <c r="B809" s="205"/>
      <c r="C809" s="205"/>
      <c r="D809" s="205"/>
      <c r="E809" s="205"/>
      <c r="F809" s="205"/>
    </row>
    <row r="810" ht="13.5" customHeight="1">
      <c r="A810" s="182"/>
      <c r="B810" s="205"/>
      <c r="C810" s="205"/>
      <c r="D810" s="205"/>
      <c r="E810" s="205"/>
      <c r="F810" s="205"/>
    </row>
    <row r="811" ht="13.5" customHeight="1">
      <c r="A811" s="182"/>
      <c r="B811" s="205"/>
      <c r="C811" s="205"/>
      <c r="D811" s="205"/>
      <c r="E811" s="205"/>
      <c r="F811" s="205"/>
    </row>
    <row r="812" ht="13.5" customHeight="1">
      <c r="A812" s="182"/>
      <c r="B812" s="205"/>
      <c r="C812" s="205"/>
      <c r="D812" s="205"/>
      <c r="E812" s="205"/>
      <c r="F812" s="205"/>
    </row>
    <row r="813" ht="13.5" customHeight="1">
      <c r="A813" s="182"/>
      <c r="B813" s="205"/>
      <c r="C813" s="205"/>
      <c r="D813" s="205"/>
      <c r="E813" s="205"/>
      <c r="F813" s="205"/>
    </row>
    <row r="814" ht="13.5" customHeight="1">
      <c r="A814" s="182"/>
      <c r="B814" s="205"/>
      <c r="C814" s="205"/>
      <c r="D814" s="205"/>
      <c r="E814" s="205"/>
      <c r="F814" s="205"/>
    </row>
    <row r="815" ht="13.5" customHeight="1">
      <c r="A815" s="182"/>
      <c r="B815" s="205"/>
      <c r="C815" s="205"/>
      <c r="D815" s="205"/>
      <c r="E815" s="205"/>
      <c r="F815" s="205"/>
    </row>
    <row r="816" ht="13.5" customHeight="1">
      <c r="A816" s="182"/>
      <c r="B816" s="205"/>
      <c r="C816" s="205"/>
      <c r="D816" s="205"/>
      <c r="E816" s="205"/>
      <c r="F816" s="205"/>
    </row>
    <row r="817" ht="13.5" customHeight="1">
      <c r="A817" s="182"/>
      <c r="B817" s="205"/>
      <c r="C817" s="205"/>
      <c r="D817" s="205"/>
      <c r="E817" s="205"/>
      <c r="F817" s="205"/>
    </row>
    <row r="818" ht="13.5" customHeight="1">
      <c r="A818" s="182"/>
      <c r="B818" s="205"/>
      <c r="C818" s="205"/>
      <c r="D818" s="205"/>
      <c r="E818" s="205"/>
      <c r="F818" s="205"/>
    </row>
    <row r="819" ht="13.5" customHeight="1">
      <c r="A819" s="182"/>
      <c r="B819" s="205"/>
      <c r="C819" s="205"/>
      <c r="D819" s="205"/>
      <c r="E819" s="205"/>
      <c r="F819" s="205"/>
    </row>
    <row r="820" ht="13.5" customHeight="1">
      <c r="A820" s="182"/>
      <c r="B820" s="205"/>
      <c r="C820" s="205"/>
      <c r="D820" s="205"/>
      <c r="E820" s="205"/>
      <c r="F820" s="205"/>
    </row>
    <row r="821" ht="13.5" customHeight="1">
      <c r="A821" s="182"/>
      <c r="B821" s="205"/>
      <c r="C821" s="205"/>
      <c r="D821" s="205"/>
      <c r="E821" s="205"/>
      <c r="F821" s="205"/>
    </row>
    <row r="822" ht="13.5" customHeight="1">
      <c r="A822" s="182"/>
      <c r="B822" s="205"/>
      <c r="C822" s="205"/>
      <c r="D822" s="205"/>
      <c r="E822" s="205"/>
      <c r="F822" s="205"/>
    </row>
    <row r="823" ht="13.5" customHeight="1">
      <c r="A823" s="182"/>
      <c r="B823" s="205"/>
      <c r="C823" s="205"/>
      <c r="D823" s="205"/>
      <c r="E823" s="205"/>
      <c r="F823" s="205"/>
    </row>
    <row r="824" ht="13.5" customHeight="1">
      <c r="A824" s="182"/>
      <c r="B824" s="205"/>
      <c r="C824" s="205"/>
      <c r="D824" s="205"/>
      <c r="E824" s="205"/>
      <c r="F824" s="205"/>
    </row>
    <row r="825" ht="13.5" customHeight="1">
      <c r="A825" s="182"/>
      <c r="B825" s="205"/>
      <c r="C825" s="205"/>
      <c r="D825" s="205"/>
      <c r="E825" s="205"/>
      <c r="F825" s="205"/>
    </row>
    <row r="826" ht="13.5" customHeight="1">
      <c r="A826" s="182"/>
      <c r="B826" s="205"/>
      <c r="C826" s="205"/>
      <c r="D826" s="205"/>
      <c r="E826" s="205"/>
      <c r="F826" s="205"/>
    </row>
    <row r="827" ht="13.5" customHeight="1">
      <c r="A827" s="182"/>
      <c r="B827" s="205"/>
      <c r="C827" s="205"/>
      <c r="D827" s="205"/>
      <c r="E827" s="205"/>
      <c r="F827" s="205"/>
    </row>
    <row r="828" ht="13.5" customHeight="1">
      <c r="A828" s="182"/>
      <c r="B828" s="205"/>
      <c r="C828" s="205"/>
      <c r="D828" s="205"/>
      <c r="E828" s="205"/>
      <c r="F828" s="205"/>
    </row>
    <row r="829" ht="13.5" customHeight="1">
      <c r="A829" s="182"/>
      <c r="B829" s="205"/>
      <c r="C829" s="205"/>
      <c r="D829" s="205"/>
      <c r="E829" s="205"/>
      <c r="F829" s="205"/>
    </row>
    <row r="830" ht="13.5" customHeight="1">
      <c r="A830" s="182"/>
      <c r="B830" s="205"/>
      <c r="C830" s="205"/>
      <c r="D830" s="205"/>
      <c r="E830" s="205"/>
      <c r="F830" s="205"/>
    </row>
    <row r="831" ht="13.5" customHeight="1">
      <c r="A831" s="182"/>
      <c r="B831" s="205"/>
      <c r="C831" s="205"/>
      <c r="D831" s="205"/>
      <c r="E831" s="205"/>
      <c r="F831" s="205"/>
    </row>
    <row r="832" ht="13.5" customHeight="1">
      <c r="A832" s="182"/>
      <c r="B832" s="205"/>
      <c r="C832" s="205"/>
      <c r="D832" s="205"/>
      <c r="E832" s="205"/>
      <c r="F832" s="205"/>
    </row>
    <row r="833" ht="13.5" customHeight="1">
      <c r="A833" s="182"/>
      <c r="B833" s="205"/>
      <c r="C833" s="205"/>
      <c r="D833" s="205"/>
      <c r="E833" s="205"/>
      <c r="F833" s="205"/>
    </row>
    <row r="834" ht="13.5" customHeight="1">
      <c r="A834" s="182"/>
      <c r="B834" s="205"/>
      <c r="C834" s="205"/>
      <c r="D834" s="205"/>
      <c r="E834" s="205"/>
      <c r="F834" s="205"/>
    </row>
    <row r="835" ht="13.5" customHeight="1">
      <c r="A835" s="182"/>
      <c r="B835" s="205"/>
      <c r="C835" s="205"/>
      <c r="D835" s="205"/>
      <c r="E835" s="205"/>
      <c r="F835" s="205"/>
    </row>
    <row r="836" ht="13.5" customHeight="1">
      <c r="A836" s="182"/>
      <c r="B836" s="205"/>
      <c r="C836" s="205"/>
      <c r="D836" s="205"/>
      <c r="E836" s="205"/>
      <c r="F836" s="205"/>
    </row>
    <row r="837" ht="13.5" customHeight="1">
      <c r="A837" s="182"/>
      <c r="B837" s="205"/>
      <c r="C837" s="205"/>
      <c r="D837" s="205"/>
      <c r="E837" s="205"/>
      <c r="F837" s="205"/>
    </row>
    <row r="838" ht="13.5" customHeight="1">
      <c r="A838" s="182"/>
      <c r="B838" s="205"/>
      <c r="C838" s="205"/>
      <c r="D838" s="205"/>
      <c r="E838" s="205"/>
      <c r="F838" s="205"/>
    </row>
    <row r="839" ht="13.5" customHeight="1">
      <c r="A839" s="182"/>
      <c r="B839" s="205"/>
      <c r="C839" s="205"/>
      <c r="D839" s="205"/>
      <c r="E839" s="205"/>
      <c r="F839" s="205"/>
    </row>
    <row r="840" ht="13.5" customHeight="1">
      <c r="A840" s="182"/>
      <c r="B840" s="205"/>
      <c r="C840" s="205"/>
      <c r="D840" s="205"/>
      <c r="E840" s="205"/>
      <c r="F840" s="205"/>
    </row>
    <row r="841" ht="13.5" customHeight="1">
      <c r="A841" s="182"/>
      <c r="B841" s="205"/>
      <c r="C841" s="205"/>
      <c r="D841" s="205"/>
      <c r="E841" s="205"/>
      <c r="F841" s="205"/>
    </row>
    <row r="842" ht="13.5" customHeight="1">
      <c r="A842" s="182"/>
      <c r="B842" s="205"/>
      <c r="C842" s="205"/>
      <c r="D842" s="205"/>
      <c r="E842" s="205"/>
      <c r="F842" s="205"/>
    </row>
    <row r="843" ht="13.5" customHeight="1">
      <c r="A843" s="182"/>
      <c r="B843" s="205"/>
      <c r="C843" s="205"/>
      <c r="D843" s="205"/>
      <c r="E843" s="205"/>
      <c r="F843" s="205"/>
    </row>
    <row r="844" ht="13.5" customHeight="1">
      <c r="A844" s="182"/>
      <c r="B844" s="205"/>
      <c r="C844" s="205"/>
      <c r="D844" s="205"/>
      <c r="E844" s="205"/>
      <c r="F844" s="205"/>
    </row>
    <row r="845" ht="13.5" customHeight="1">
      <c r="A845" s="182"/>
      <c r="B845" s="205"/>
      <c r="C845" s="205"/>
      <c r="D845" s="205"/>
      <c r="E845" s="205"/>
      <c r="F845" s="205"/>
    </row>
    <row r="846" ht="13.5" customHeight="1">
      <c r="A846" s="182"/>
      <c r="B846" s="205"/>
      <c r="C846" s="205"/>
      <c r="D846" s="205"/>
      <c r="E846" s="205"/>
      <c r="F846" s="205"/>
    </row>
    <row r="847" ht="13.5" customHeight="1">
      <c r="A847" s="182"/>
      <c r="B847" s="205"/>
      <c r="C847" s="205"/>
      <c r="D847" s="205"/>
      <c r="E847" s="205"/>
      <c r="F847" s="205"/>
    </row>
    <row r="848" ht="13.5" customHeight="1">
      <c r="A848" s="182"/>
      <c r="B848" s="205"/>
      <c r="C848" s="205"/>
      <c r="D848" s="205"/>
      <c r="E848" s="205"/>
      <c r="F848" s="205"/>
    </row>
    <row r="849" ht="13.5" customHeight="1">
      <c r="A849" s="182"/>
      <c r="B849" s="205"/>
      <c r="C849" s="205"/>
      <c r="D849" s="205"/>
      <c r="E849" s="205"/>
      <c r="F849" s="205"/>
    </row>
    <row r="850" ht="13.5" customHeight="1">
      <c r="A850" s="182"/>
      <c r="B850" s="205"/>
      <c r="C850" s="205"/>
      <c r="D850" s="205"/>
      <c r="E850" s="205"/>
      <c r="F850" s="205"/>
    </row>
    <row r="851" ht="13.5" customHeight="1">
      <c r="A851" s="182"/>
      <c r="B851" s="205"/>
      <c r="C851" s="205"/>
      <c r="D851" s="205"/>
      <c r="E851" s="205"/>
      <c r="F851" s="205"/>
    </row>
    <row r="852" ht="13.5" customHeight="1">
      <c r="A852" s="182"/>
      <c r="B852" s="205"/>
      <c r="C852" s="205"/>
      <c r="D852" s="205"/>
      <c r="E852" s="205"/>
      <c r="F852" s="205"/>
    </row>
    <row r="853" ht="13.5" customHeight="1">
      <c r="A853" s="182"/>
      <c r="B853" s="205"/>
      <c r="C853" s="205"/>
      <c r="D853" s="205"/>
      <c r="E853" s="205"/>
      <c r="F853" s="205"/>
    </row>
    <row r="854" ht="13.5" customHeight="1">
      <c r="A854" s="182"/>
      <c r="B854" s="205"/>
      <c r="C854" s="205"/>
      <c r="D854" s="205"/>
      <c r="E854" s="205"/>
      <c r="F854" s="205"/>
    </row>
    <row r="855" ht="13.5" customHeight="1">
      <c r="A855" s="182"/>
      <c r="B855" s="205"/>
      <c r="C855" s="205"/>
      <c r="D855" s="205"/>
      <c r="E855" s="205"/>
      <c r="F855" s="205"/>
    </row>
    <row r="856" ht="13.5" customHeight="1">
      <c r="A856" s="182"/>
      <c r="B856" s="205"/>
      <c r="C856" s="205"/>
      <c r="D856" s="205"/>
      <c r="E856" s="205"/>
      <c r="F856" s="205"/>
    </row>
    <row r="857" ht="13.5" customHeight="1">
      <c r="A857" s="182"/>
      <c r="B857" s="205"/>
      <c r="C857" s="205"/>
      <c r="D857" s="205"/>
      <c r="E857" s="205"/>
      <c r="F857" s="205"/>
    </row>
    <row r="858" ht="13.5" customHeight="1">
      <c r="A858" s="182"/>
      <c r="B858" s="205"/>
      <c r="C858" s="205"/>
      <c r="D858" s="205"/>
      <c r="E858" s="205"/>
      <c r="F858" s="205"/>
    </row>
    <row r="859" ht="13.5" customHeight="1">
      <c r="A859" s="182"/>
      <c r="B859" s="205"/>
      <c r="C859" s="205"/>
      <c r="D859" s="205"/>
      <c r="E859" s="205"/>
      <c r="F859" s="205"/>
    </row>
    <row r="860" ht="13.5" customHeight="1">
      <c r="A860" s="182"/>
      <c r="B860" s="205"/>
      <c r="C860" s="205"/>
      <c r="D860" s="205"/>
      <c r="E860" s="205"/>
      <c r="F860" s="205"/>
    </row>
    <row r="861" ht="13.5" customHeight="1">
      <c r="A861" s="182"/>
      <c r="B861" s="205"/>
      <c r="C861" s="205"/>
      <c r="D861" s="205"/>
      <c r="E861" s="205"/>
      <c r="F861" s="205"/>
    </row>
    <row r="862" ht="13.5" customHeight="1">
      <c r="A862" s="182"/>
      <c r="B862" s="205"/>
      <c r="C862" s="205"/>
      <c r="D862" s="205"/>
      <c r="E862" s="205"/>
      <c r="F862" s="205"/>
    </row>
    <row r="863" ht="13.5" customHeight="1">
      <c r="A863" s="182"/>
      <c r="B863" s="205"/>
      <c r="C863" s="205"/>
      <c r="D863" s="205"/>
      <c r="E863" s="205"/>
      <c r="F863" s="205"/>
    </row>
    <row r="864" ht="13.5" customHeight="1">
      <c r="A864" s="182"/>
      <c r="B864" s="205"/>
      <c r="C864" s="205"/>
      <c r="D864" s="205"/>
      <c r="E864" s="205"/>
      <c r="F864" s="205"/>
    </row>
    <row r="865" ht="13.5" customHeight="1">
      <c r="A865" s="182"/>
      <c r="B865" s="205"/>
      <c r="C865" s="205"/>
      <c r="D865" s="205"/>
      <c r="E865" s="205"/>
      <c r="F865" s="205"/>
    </row>
    <row r="866" ht="13.5" customHeight="1">
      <c r="A866" s="182"/>
      <c r="B866" s="205"/>
      <c r="C866" s="205"/>
      <c r="D866" s="205"/>
      <c r="E866" s="205"/>
      <c r="F866" s="205"/>
    </row>
    <row r="867" ht="13.5" customHeight="1">
      <c r="A867" s="182"/>
      <c r="B867" s="205"/>
      <c r="C867" s="205"/>
      <c r="D867" s="205"/>
      <c r="E867" s="205"/>
      <c r="F867" s="205"/>
    </row>
    <row r="868" ht="13.5" customHeight="1">
      <c r="A868" s="182"/>
      <c r="B868" s="205"/>
      <c r="C868" s="205"/>
      <c r="D868" s="205"/>
      <c r="E868" s="205"/>
      <c r="F868" s="205"/>
    </row>
    <row r="869" ht="13.5" customHeight="1">
      <c r="A869" s="182"/>
      <c r="B869" s="205"/>
      <c r="C869" s="205"/>
      <c r="D869" s="205"/>
      <c r="E869" s="205"/>
      <c r="F869" s="205"/>
    </row>
    <row r="870" ht="13.5" customHeight="1">
      <c r="A870" s="182"/>
      <c r="B870" s="205"/>
      <c r="C870" s="205"/>
      <c r="D870" s="205"/>
      <c r="E870" s="205"/>
      <c r="F870" s="205"/>
    </row>
    <row r="871" ht="13.5" customHeight="1">
      <c r="A871" s="182"/>
      <c r="B871" s="205"/>
      <c r="C871" s="205"/>
      <c r="D871" s="205"/>
      <c r="E871" s="205"/>
      <c r="F871" s="205"/>
    </row>
    <row r="872" ht="13.5" customHeight="1">
      <c r="A872" s="182"/>
      <c r="B872" s="205"/>
      <c r="C872" s="205"/>
      <c r="D872" s="205"/>
      <c r="E872" s="205"/>
      <c r="F872" s="205"/>
    </row>
    <row r="873" ht="13.5" customHeight="1">
      <c r="A873" s="182"/>
      <c r="B873" s="205"/>
      <c r="C873" s="205"/>
      <c r="D873" s="205"/>
      <c r="E873" s="205"/>
      <c r="F873" s="205"/>
    </row>
    <row r="874" ht="13.5" customHeight="1">
      <c r="A874" s="182"/>
      <c r="B874" s="205"/>
      <c r="C874" s="205"/>
      <c r="D874" s="205"/>
      <c r="E874" s="205"/>
      <c r="F874" s="205"/>
    </row>
    <row r="875" ht="13.5" customHeight="1">
      <c r="A875" s="182"/>
      <c r="B875" s="205"/>
      <c r="C875" s="205"/>
      <c r="D875" s="205"/>
      <c r="E875" s="205"/>
      <c r="F875" s="205"/>
    </row>
    <row r="876" ht="13.5" customHeight="1">
      <c r="A876" s="182"/>
      <c r="B876" s="205"/>
      <c r="C876" s="205"/>
      <c r="D876" s="205"/>
      <c r="E876" s="205"/>
      <c r="F876" s="205"/>
    </row>
    <row r="877" ht="13.5" customHeight="1">
      <c r="A877" s="182"/>
      <c r="B877" s="205"/>
      <c r="C877" s="205"/>
      <c r="D877" s="205"/>
      <c r="E877" s="205"/>
      <c r="F877" s="205"/>
    </row>
    <row r="878" ht="13.5" customHeight="1">
      <c r="A878" s="182"/>
      <c r="B878" s="205"/>
      <c r="C878" s="205"/>
      <c r="D878" s="205"/>
      <c r="E878" s="205"/>
      <c r="F878" s="205"/>
    </row>
    <row r="879" ht="13.5" customHeight="1">
      <c r="A879" s="182"/>
      <c r="B879" s="205"/>
      <c r="C879" s="205"/>
      <c r="D879" s="205"/>
      <c r="E879" s="205"/>
      <c r="F879" s="205"/>
    </row>
    <row r="880" ht="13.5" customHeight="1">
      <c r="A880" s="182"/>
      <c r="B880" s="205"/>
      <c r="C880" s="205"/>
      <c r="D880" s="205"/>
      <c r="E880" s="205"/>
      <c r="F880" s="205"/>
    </row>
    <row r="881" ht="13.5" customHeight="1">
      <c r="A881" s="182"/>
      <c r="B881" s="205"/>
      <c r="C881" s="205"/>
      <c r="D881" s="205"/>
      <c r="E881" s="205"/>
      <c r="F881" s="205"/>
    </row>
    <row r="882" ht="13.5" customHeight="1">
      <c r="A882" s="182"/>
      <c r="B882" s="205"/>
      <c r="C882" s="205"/>
      <c r="D882" s="205"/>
      <c r="E882" s="205"/>
      <c r="F882" s="205"/>
    </row>
    <row r="883" ht="13.5" customHeight="1">
      <c r="A883" s="182"/>
      <c r="B883" s="205"/>
      <c r="C883" s="205"/>
      <c r="D883" s="205"/>
      <c r="E883" s="205"/>
      <c r="F883" s="205"/>
    </row>
    <row r="884" ht="13.5" customHeight="1">
      <c r="A884" s="182"/>
      <c r="B884" s="205"/>
      <c r="C884" s="205"/>
      <c r="D884" s="205"/>
      <c r="E884" s="205"/>
      <c r="F884" s="205"/>
    </row>
    <row r="885" ht="13.5" customHeight="1">
      <c r="A885" s="182"/>
      <c r="B885" s="205"/>
      <c r="C885" s="205"/>
      <c r="D885" s="205"/>
      <c r="E885" s="205"/>
      <c r="F885" s="205"/>
    </row>
    <row r="886" ht="13.5" customHeight="1">
      <c r="A886" s="182"/>
      <c r="B886" s="205"/>
      <c r="C886" s="205"/>
      <c r="D886" s="205"/>
      <c r="E886" s="205"/>
      <c r="F886" s="205"/>
    </row>
    <row r="887" ht="13.5" customHeight="1">
      <c r="A887" s="182"/>
      <c r="B887" s="205"/>
      <c r="C887" s="205"/>
      <c r="D887" s="205"/>
      <c r="E887" s="205"/>
      <c r="F887" s="205"/>
    </row>
    <row r="888" ht="13.5" customHeight="1">
      <c r="A888" s="182"/>
      <c r="B888" s="205"/>
      <c r="C888" s="205"/>
      <c r="D888" s="205"/>
      <c r="E888" s="205"/>
      <c r="F888" s="205"/>
    </row>
    <row r="889" ht="13.5" customHeight="1">
      <c r="A889" s="182"/>
      <c r="B889" s="205"/>
      <c r="C889" s="205"/>
      <c r="D889" s="205"/>
      <c r="E889" s="205"/>
      <c r="F889" s="205"/>
    </row>
    <row r="890" ht="13.5" customHeight="1">
      <c r="A890" s="182"/>
      <c r="B890" s="205"/>
      <c r="C890" s="205"/>
      <c r="D890" s="205"/>
      <c r="E890" s="205"/>
      <c r="F890" s="205"/>
    </row>
    <row r="891" ht="13.5" customHeight="1">
      <c r="A891" s="182"/>
      <c r="B891" s="205"/>
      <c r="C891" s="205"/>
      <c r="D891" s="205"/>
      <c r="E891" s="205"/>
      <c r="F891" s="205"/>
    </row>
    <row r="892" ht="13.5" customHeight="1">
      <c r="A892" s="182"/>
      <c r="B892" s="205"/>
      <c r="C892" s="205"/>
      <c r="D892" s="205"/>
      <c r="E892" s="205"/>
      <c r="F892" s="205"/>
    </row>
    <row r="893" ht="13.5" customHeight="1">
      <c r="A893" s="182"/>
      <c r="B893" s="205"/>
      <c r="C893" s="205"/>
      <c r="D893" s="205"/>
      <c r="E893" s="205"/>
      <c r="F893" s="205"/>
    </row>
    <row r="894" ht="13.5" customHeight="1">
      <c r="A894" s="182"/>
      <c r="B894" s="205"/>
      <c r="C894" s="205"/>
      <c r="D894" s="205"/>
      <c r="E894" s="205"/>
      <c r="F894" s="205"/>
    </row>
    <row r="895" ht="13.5" customHeight="1">
      <c r="A895" s="182"/>
      <c r="B895" s="205"/>
      <c r="C895" s="205"/>
      <c r="D895" s="205"/>
      <c r="E895" s="205"/>
      <c r="F895" s="205"/>
    </row>
    <row r="896" ht="13.5" customHeight="1">
      <c r="A896" s="182"/>
      <c r="B896" s="205"/>
      <c r="C896" s="205"/>
      <c r="D896" s="205"/>
      <c r="E896" s="205"/>
      <c r="F896" s="205"/>
    </row>
    <row r="897" ht="13.5" customHeight="1">
      <c r="A897" s="182"/>
      <c r="B897" s="205"/>
      <c r="C897" s="205"/>
      <c r="D897" s="205"/>
      <c r="E897" s="205"/>
      <c r="F897" s="205"/>
    </row>
    <row r="898" ht="13.5" customHeight="1">
      <c r="A898" s="182"/>
      <c r="B898" s="205"/>
      <c r="C898" s="205"/>
      <c r="D898" s="205"/>
      <c r="E898" s="205"/>
      <c r="F898" s="205"/>
    </row>
    <row r="899" ht="13.5" customHeight="1">
      <c r="A899" s="182"/>
      <c r="B899" s="205"/>
      <c r="C899" s="205"/>
      <c r="D899" s="205"/>
      <c r="E899" s="205"/>
      <c r="F899" s="205"/>
    </row>
    <row r="900" ht="13.5" customHeight="1">
      <c r="A900" s="182"/>
      <c r="B900" s="205"/>
      <c r="C900" s="205"/>
      <c r="D900" s="205"/>
      <c r="E900" s="205"/>
      <c r="F900" s="205"/>
    </row>
    <row r="901" ht="13.5" customHeight="1">
      <c r="A901" s="182"/>
      <c r="B901" s="205"/>
      <c r="C901" s="205"/>
      <c r="D901" s="205"/>
      <c r="E901" s="205"/>
      <c r="F901" s="205"/>
    </row>
    <row r="902" ht="13.5" customHeight="1">
      <c r="A902" s="182"/>
      <c r="B902" s="205"/>
      <c r="C902" s="205"/>
      <c r="D902" s="205"/>
      <c r="E902" s="205"/>
      <c r="F902" s="205"/>
    </row>
    <row r="903" ht="13.5" customHeight="1">
      <c r="A903" s="182"/>
      <c r="B903" s="205"/>
      <c r="C903" s="205"/>
      <c r="D903" s="205"/>
      <c r="E903" s="205"/>
      <c r="F903" s="205"/>
    </row>
    <row r="904" ht="13.5" customHeight="1">
      <c r="A904" s="182"/>
      <c r="B904" s="205"/>
      <c r="C904" s="205"/>
      <c r="D904" s="205"/>
      <c r="E904" s="205"/>
      <c r="F904" s="205"/>
    </row>
    <row r="905" ht="13.5" customHeight="1">
      <c r="A905" s="182"/>
      <c r="B905" s="205"/>
      <c r="C905" s="205"/>
      <c r="D905" s="205"/>
      <c r="E905" s="205"/>
      <c r="F905" s="205"/>
    </row>
    <row r="906" ht="13.5" customHeight="1">
      <c r="A906" s="182"/>
      <c r="B906" s="205"/>
      <c r="C906" s="205"/>
      <c r="D906" s="205"/>
      <c r="E906" s="205"/>
      <c r="F906" s="205"/>
    </row>
    <row r="907" ht="13.5" customHeight="1">
      <c r="A907" s="182"/>
      <c r="B907" s="205"/>
      <c r="C907" s="205"/>
      <c r="D907" s="205"/>
      <c r="E907" s="205"/>
      <c r="F907" s="205"/>
    </row>
    <row r="908" ht="13.5" customHeight="1">
      <c r="A908" s="182"/>
      <c r="B908" s="205"/>
      <c r="C908" s="205"/>
      <c r="D908" s="205"/>
      <c r="E908" s="205"/>
      <c r="F908" s="205"/>
    </row>
    <row r="909" ht="13.5" customHeight="1">
      <c r="A909" s="182"/>
      <c r="B909" s="205"/>
      <c r="C909" s="205"/>
      <c r="D909" s="205"/>
      <c r="E909" s="205"/>
      <c r="F909" s="205"/>
    </row>
    <row r="910" ht="13.5" customHeight="1">
      <c r="A910" s="182"/>
      <c r="B910" s="205"/>
      <c r="C910" s="205"/>
      <c r="D910" s="205"/>
      <c r="E910" s="205"/>
      <c r="F910" s="205"/>
    </row>
    <row r="911" ht="13.5" customHeight="1">
      <c r="A911" s="182"/>
      <c r="B911" s="205"/>
      <c r="C911" s="205"/>
      <c r="D911" s="205"/>
      <c r="E911" s="205"/>
      <c r="F911" s="205"/>
    </row>
    <row r="912" ht="13.5" customHeight="1">
      <c r="A912" s="182"/>
      <c r="B912" s="205"/>
      <c r="C912" s="205"/>
      <c r="D912" s="205"/>
      <c r="E912" s="205"/>
      <c r="F912" s="205"/>
    </row>
    <row r="913" ht="13.5" customHeight="1">
      <c r="A913" s="182"/>
      <c r="B913" s="205"/>
      <c r="C913" s="205"/>
      <c r="D913" s="205"/>
      <c r="E913" s="205"/>
      <c r="F913" s="205"/>
    </row>
    <row r="914" ht="13.5" customHeight="1">
      <c r="A914" s="182"/>
      <c r="B914" s="205"/>
      <c r="C914" s="205"/>
      <c r="D914" s="205"/>
      <c r="E914" s="205"/>
      <c r="F914" s="205"/>
    </row>
    <row r="915" ht="13.5" customHeight="1">
      <c r="A915" s="182"/>
      <c r="B915" s="205"/>
      <c r="C915" s="205"/>
      <c r="D915" s="205"/>
      <c r="E915" s="205"/>
      <c r="F915" s="205"/>
    </row>
    <row r="916" ht="13.5" customHeight="1">
      <c r="A916" s="182"/>
      <c r="B916" s="205"/>
      <c r="C916" s="205"/>
      <c r="D916" s="205"/>
      <c r="E916" s="205"/>
      <c r="F916" s="205"/>
    </row>
    <row r="917" ht="13.5" customHeight="1">
      <c r="A917" s="182"/>
      <c r="B917" s="205"/>
      <c r="C917" s="205"/>
      <c r="D917" s="205"/>
      <c r="E917" s="205"/>
      <c r="F917" s="205"/>
    </row>
    <row r="918" ht="13.5" customHeight="1">
      <c r="A918" s="182"/>
      <c r="B918" s="205"/>
      <c r="C918" s="205"/>
      <c r="D918" s="205"/>
      <c r="E918" s="205"/>
      <c r="F918" s="205"/>
    </row>
    <row r="919" ht="13.5" customHeight="1">
      <c r="A919" s="182"/>
      <c r="B919" s="205"/>
      <c r="C919" s="205"/>
      <c r="D919" s="205"/>
      <c r="E919" s="205"/>
      <c r="F919" s="205"/>
    </row>
    <row r="920" ht="13.5" customHeight="1">
      <c r="A920" s="182"/>
      <c r="B920" s="205"/>
      <c r="C920" s="205"/>
      <c r="D920" s="205"/>
      <c r="E920" s="205"/>
      <c r="F920" s="205"/>
    </row>
    <row r="921" ht="13.5" customHeight="1">
      <c r="A921" s="182"/>
      <c r="B921" s="205"/>
      <c r="C921" s="205"/>
      <c r="D921" s="205"/>
      <c r="E921" s="205"/>
      <c r="F921" s="205"/>
    </row>
    <row r="922" ht="13.5" customHeight="1">
      <c r="A922" s="182"/>
      <c r="B922" s="205"/>
      <c r="C922" s="205"/>
      <c r="D922" s="205"/>
      <c r="E922" s="205"/>
      <c r="F922" s="205"/>
    </row>
    <row r="923" ht="13.5" customHeight="1">
      <c r="A923" s="182"/>
      <c r="B923" s="205"/>
      <c r="C923" s="205"/>
      <c r="D923" s="205"/>
      <c r="E923" s="205"/>
      <c r="F923" s="205"/>
    </row>
    <row r="924" ht="13.5" customHeight="1">
      <c r="A924" s="182"/>
      <c r="B924" s="205"/>
      <c r="C924" s="205"/>
      <c r="D924" s="205"/>
      <c r="E924" s="205"/>
      <c r="F924" s="205"/>
    </row>
    <row r="925" ht="13.5" customHeight="1">
      <c r="A925" s="182"/>
      <c r="B925" s="205"/>
      <c r="C925" s="205"/>
      <c r="D925" s="205"/>
      <c r="E925" s="205"/>
      <c r="F925" s="205"/>
    </row>
    <row r="926" ht="13.5" customHeight="1">
      <c r="A926" s="182"/>
      <c r="B926" s="205"/>
      <c r="C926" s="205"/>
      <c r="D926" s="205"/>
      <c r="E926" s="205"/>
      <c r="F926" s="205"/>
    </row>
    <row r="927" ht="13.5" customHeight="1">
      <c r="A927" s="182"/>
      <c r="B927" s="205"/>
      <c r="C927" s="205"/>
      <c r="D927" s="205"/>
      <c r="E927" s="205"/>
      <c r="F927" s="205"/>
    </row>
    <row r="928" ht="13.5" customHeight="1">
      <c r="A928" s="182"/>
      <c r="B928" s="205"/>
      <c r="C928" s="205"/>
      <c r="D928" s="205"/>
      <c r="E928" s="205"/>
      <c r="F928" s="205"/>
    </row>
    <row r="929" ht="13.5" customHeight="1">
      <c r="A929" s="182"/>
      <c r="B929" s="205"/>
      <c r="C929" s="205"/>
      <c r="D929" s="205"/>
      <c r="E929" s="205"/>
      <c r="F929" s="205"/>
    </row>
    <row r="930" ht="13.5" customHeight="1">
      <c r="A930" s="182"/>
      <c r="B930" s="205"/>
      <c r="C930" s="205"/>
      <c r="D930" s="205"/>
      <c r="E930" s="205"/>
      <c r="F930" s="205"/>
    </row>
    <row r="931" ht="13.5" customHeight="1">
      <c r="A931" s="182"/>
      <c r="B931" s="205"/>
      <c r="C931" s="205"/>
      <c r="D931" s="205"/>
      <c r="E931" s="205"/>
      <c r="F931" s="205"/>
    </row>
    <row r="932" ht="13.5" customHeight="1">
      <c r="A932" s="182"/>
      <c r="B932" s="205"/>
      <c r="C932" s="205"/>
      <c r="D932" s="205"/>
      <c r="E932" s="205"/>
      <c r="F932" s="205"/>
    </row>
    <row r="933" ht="13.5" customHeight="1">
      <c r="A933" s="182"/>
      <c r="B933" s="205"/>
      <c r="C933" s="205"/>
      <c r="D933" s="205"/>
      <c r="E933" s="205"/>
      <c r="F933" s="205"/>
    </row>
    <row r="934" ht="13.5" customHeight="1">
      <c r="A934" s="182"/>
      <c r="B934" s="205"/>
      <c r="C934" s="205"/>
      <c r="D934" s="205"/>
      <c r="E934" s="205"/>
      <c r="F934" s="205"/>
    </row>
    <row r="935" ht="13.5" customHeight="1">
      <c r="A935" s="182"/>
      <c r="B935" s="205"/>
      <c r="C935" s="205"/>
      <c r="D935" s="205"/>
      <c r="E935" s="205"/>
      <c r="F935" s="205"/>
    </row>
    <row r="936" ht="13.5" customHeight="1">
      <c r="A936" s="182"/>
      <c r="B936" s="205"/>
      <c r="C936" s="205"/>
      <c r="D936" s="205"/>
      <c r="E936" s="205"/>
      <c r="F936" s="205"/>
    </row>
    <row r="937" ht="13.5" customHeight="1">
      <c r="A937" s="182"/>
      <c r="B937" s="205"/>
      <c r="C937" s="205"/>
      <c r="D937" s="205"/>
      <c r="E937" s="205"/>
      <c r="F937" s="205"/>
    </row>
    <row r="938" ht="13.5" customHeight="1">
      <c r="A938" s="182"/>
      <c r="B938" s="205"/>
      <c r="C938" s="205"/>
      <c r="D938" s="205"/>
      <c r="E938" s="205"/>
      <c r="F938" s="205"/>
    </row>
    <row r="939" ht="13.5" customHeight="1">
      <c r="A939" s="182"/>
      <c r="B939" s="205"/>
      <c r="C939" s="205"/>
      <c r="D939" s="205"/>
      <c r="E939" s="205"/>
      <c r="F939" s="205"/>
    </row>
    <row r="940" ht="13.5" customHeight="1">
      <c r="A940" s="182"/>
      <c r="B940" s="205"/>
      <c r="C940" s="205"/>
      <c r="D940" s="205"/>
      <c r="E940" s="205"/>
      <c r="F940" s="205"/>
    </row>
    <row r="941" ht="13.5" customHeight="1">
      <c r="A941" s="182"/>
      <c r="B941" s="205"/>
      <c r="C941" s="205"/>
      <c r="D941" s="205"/>
      <c r="E941" s="205"/>
      <c r="F941" s="205"/>
    </row>
    <row r="942" ht="13.5" customHeight="1">
      <c r="A942" s="182"/>
      <c r="B942" s="205"/>
      <c r="C942" s="205"/>
      <c r="D942" s="205"/>
      <c r="E942" s="205"/>
      <c r="F942" s="205"/>
    </row>
    <row r="943" ht="13.5" customHeight="1">
      <c r="A943" s="182"/>
      <c r="B943" s="205"/>
      <c r="C943" s="205"/>
      <c r="D943" s="205"/>
      <c r="E943" s="205"/>
      <c r="F943" s="205"/>
    </row>
    <row r="944" ht="13.5" customHeight="1">
      <c r="A944" s="182"/>
      <c r="B944" s="205"/>
      <c r="C944" s="205"/>
      <c r="D944" s="205"/>
      <c r="E944" s="205"/>
      <c r="F944" s="205"/>
    </row>
    <row r="945" ht="13.5" customHeight="1">
      <c r="A945" s="182"/>
      <c r="B945" s="205"/>
      <c r="C945" s="205"/>
      <c r="D945" s="205"/>
      <c r="E945" s="205"/>
      <c r="F945" s="205"/>
    </row>
    <row r="946" ht="13.5" customHeight="1">
      <c r="A946" s="182"/>
      <c r="B946" s="205"/>
      <c r="C946" s="205"/>
      <c r="D946" s="205"/>
      <c r="E946" s="205"/>
      <c r="F946" s="205"/>
    </row>
    <row r="947" ht="13.5" customHeight="1">
      <c r="A947" s="182"/>
      <c r="B947" s="205"/>
      <c r="C947" s="205"/>
      <c r="D947" s="205"/>
      <c r="E947" s="205"/>
      <c r="F947" s="205"/>
    </row>
    <row r="948" ht="13.5" customHeight="1">
      <c r="A948" s="182"/>
      <c r="B948" s="205"/>
      <c r="C948" s="205"/>
      <c r="D948" s="205"/>
      <c r="E948" s="205"/>
      <c r="F948" s="205"/>
    </row>
    <row r="949" ht="13.5" customHeight="1">
      <c r="A949" s="182"/>
      <c r="B949" s="205"/>
      <c r="C949" s="205"/>
      <c r="D949" s="205"/>
      <c r="E949" s="205"/>
      <c r="F949" s="205"/>
    </row>
    <row r="950" ht="13.5" customHeight="1">
      <c r="A950" s="182"/>
      <c r="B950" s="205"/>
      <c r="C950" s="205"/>
      <c r="D950" s="205"/>
      <c r="E950" s="205"/>
      <c r="F950" s="205"/>
    </row>
    <row r="951" ht="13.5" customHeight="1">
      <c r="A951" s="182"/>
      <c r="B951" s="205"/>
      <c r="C951" s="205"/>
      <c r="D951" s="205"/>
      <c r="E951" s="205"/>
      <c r="F951" s="205"/>
    </row>
    <row r="952" ht="13.5" customHeight="1">
      <c r="A952" s="182"/>
      <c r="B952" s="205"/>
      <c r="C952" s="205"/>
      <c r="D952" s="205"/>
      <c r="E952" s="205"/>
      <c r="F952" s="205"/>
    </row>
    <row r="953" ht="13.5" customHeight="1">
      <c r="A953" s="182"/>
      <c r="B953" s="205"/>
      <c r="C953" s="205"/>
      <c r="D953" s="205"/>
      <c r="E953" s="205"/>
      <c r="F953" s="205"/>
    </row>
    <row r="954" ht="13.5" customHeight="1">
      <c r="A954" s="182"/>
      <c r="B954" s="205"/>
      <c r="C954" s="205"/>
      <c r="D954" s="205"/>
      <c r="E954" s="205"/>
      <c r="F954" s="205"/>
    </row>
    <row r="955" ht="13.5" customHeight="1">
      <c r="A955" s="182"/>
      <c r="B955" s="205"/>
      <c r="C955" s="205"/>
      <c r="D955" s="205"/>
      <c r="E955" s="205"/>
      <c r="F955" s="205"/>
    </row>
    <row r="956" ht="13.5" customHeight="1">
      <c r="A956" s="182"/>
      <c r="B956" s="205"/>
      <c r="C956" s="205"/>
      <c r="D956" s="205"/>
      <c r="E956" s="205"/>
      <c r="F956" s="205"/>
    </row>
    <row r="957" ht="13.5" customHeight="1">
      <c r="A957" s="182"/>
      <c r="B957" s="205"/>
      <c r="C957" s="205"/>
      <c r="D957" s="205"/>
      <c r="E957" s="205"/>
      <c r="F957" s="205"/>
    </row>
    <row r="958" ht="13.5" customHeight="1">
      <c r="A958" s="182"/>
      <c r="B958" s="205"/>
      <c r="C958" s="205"/>
      <c r="D958" s="205"/>
      <c r="E958" s="205"/>
      <c r="F958" s="205"/>
    </row>
    <row r="959" ht="13.5" customHeight="1">
      <c r="A959" s="182"/>
      <c r="B959" s="205"/>
      <c r="C959" s="205"/>
      <c r="D959" s="205"/>
      <c r="E959" s="205"/>
      <c r="F959" s="205"/>
    </row>
    <row r="960" ht="13.5" customHeight="1">
      <c r="A960" s="182"/>
      <c r="B960" s="205"/>
      <c r="C960" s="205"/>
      <c r="D960" s="205"/>
      <c r="E960" s="205"/>
      <c r="F960" s="205"/>
    </row>
    <row r="961" ht="13.5" customHeight="1">
      <c r="A961" s="182"/>
      <c r="B961" s="205"/>
      <c r="C961" s="205"/>
      <c r="D961" s="205"/>
      <c r="E961" s="205"/>
      <c r="F961" s="205"/>
    </row>
    <row r="962" ht="13.5" customHeight="1">
      <c r="A962" s="182"/>
      <c r="B962" s="205"/>
      <c r="C962" s="205"/>
      <c r="D962" s="205"/>
      <c r="E962" s="205"/>
      <c r="F962" s="205"/>
    </row>
    <row r="963" ht="13.5" customHeight="1">
      <c r="A963" s="182"/>
      <c r="B963" s="205"/>
      <c r="C963" s="205"/>
      <c r="D963" s="205"/>
      <c r="E963" s="205"/>
      <c r="F963" s="205"/>
    </row>
    <row r="964" ht="13.5" customHeight="1">
      <c r="A964" s="182"/>
      <c r="B964" s="205"/>
      <c r="C964" s="205"/>
      <c r="D964" s="205"/>
      <c r="E964" s="205"/>
      <c r="F964" s="205"/>
    </row>
    <row r="965" ht="13.5" customHeight="1">
      <c r="A965" s="182"/>
      <c r="B965" s="205"/>
      <c r="C965" s="205"/>
      <c r="D965" s="205"/>
      <c r="E965" s="205"/>
      <c r="F965" s="205"/>
    </row>
    <row r="966" ht="13.5" customHeight="1">
      <c r="A966" s="182"/>
      <c r="B966" s="205"/>
      <c r="C966" s="205"/>
      <c r="D966" s="205"/>
      <c r="E966" s="205"/>
      <c r="F966" s="205"/>
    </row>
    <row r="967" ht="13.5" customHeight="1">
      <c r="A967" s="182"/>
      <c r="B967" s="205"/>
      <c r="C967" s="205"/>
      <c r="D967" s="205"/>
      <c r="E967" s="205"/>
      <c r="F967" s="205"/>
    </row>
    <row r="968" ht="13.5" customHeight="1">
      <c r="A968" s="182"/>
      <c r="B968" s="205"/>
      <c r="C968" s="205"/>
      <c r="D968" s="205"/>
      <c r="E968" s="205"/>
      <c r="F968" s="205"/>
    </row>
    <row r="969" ht="13.5" customHeight="1">
      <c r="A969" s="182"/>
      <c r="B969" s="205"/>
      <c r="C969" s="205"/>
      <c r="D969" s="205"/>
      <c r="E969" s="205"/>
      <c r="F969" s="205"/>
    </row>
    <row r="970" ht="13.5" customHeight="1">
      <c r="A970" s="182"/>
      <c r="B970" s="205"/>
      <c r="C970" s="205"/>
      <c r="D970" s="205"/>
      <c r="E970" s="205"/>
      <c r="F970" s="205"/>
    </row>
    <row r="971" ht="13.5" customHeight="1">
      <c r="A971" s="182"/>
      <c r="B971" s="205"/>
      <c r="C971" s="205"/>
      <c r="D971" s="205"/>
      <c r="E971" s="205"/>
      <c r="F971" s="205"/>
    </row>
    <row r="972" ht="13.5" customHeight="1">
      <c r="A972" s="182"/>
      <c r="B972" s="205"/>
      <c r="C972" s="205"/>
      <c r="D972" s="205"/>
      <c r="E972" s="205"/>
      <c r="F972" s="205"/>
    </row>
    <row r="973" ht="13.5" customHeight="1">
      <c r="A973" s="182"/>
      <c r="B973" s="205"/>
      <c r="C973" s="205"/>
      <c r="D973" s="205"/>
      <c r="E973" s="205"/>
      <c r="F973" s="205"/>
    </row>
    <row r="974" ht="13.5" customHeight="1">
      <c r="A974" s="182"/>
      <c r="B974" s="205"/>
      <c r="C974" s="205"/>
      <c r="D974" s="205"/>
      <c r="E974" s="205"/>
      <c r="F974" s="205"/>
    </row>
    <row r="975" ht="13.5" customHeight="1">
      <c r="A975" s="182"/>
      <c r="B975" s="205"/>
      <c r="C975" s="205"/>
      <c r="D975" s="205"/>
      <c r="E975" s="205"/>
      <c r="F975" s="205"/>
    </row>
    <row r="976" ht="13.5" customHeight="1">
      <c r="A976" s="182"/>
      <c r="B976" s="205"/>
      <c r="C976" s="205"/>
      <c r="D976" s="205"/>
      <c r="E976" s="205"/>
      <c r="F976" s="205"/>
    </row>
    <row r="977" ht="13.5" customHeight="1">
      <c r="A977" s="182"/>
      <c r="B977" s="205"/>
      <c r="C977" s="205"/>
      <c r="D977" s="205"/>
      <c r="E977" s="205"/>
      <c r="F977" s="205"/>
    </row>
    <row r="978" ht="13.5" customHeight="1">
      <c r="A978" s="182"/>
      <c r="B978" s="205"/>
      <c r="C978" s="205"/>
      <c r="D978" s="205"/>
      <c r="E978" s="205"/>
      <c r="F978" s="205"/>
    </row>
    <row r="979" ht="13.5" customHeight="1">
      <c r="A979" s="182"/>
      <c r="B979" s="205"/>
      <c r="C979" s="205"/>
      <c r="D979" s="205"/>
      <c r="E979" s="205"/>
      <c r="F979" s="205"/>
    </row>
    <row r="980" ht="13.5" customHeight="1">
      <c r="A980" s="182"/>
      <c r="B980" s="205"/>
      <c r="C980" s="205"/>
      <c r="D980" s="205"/>
      <c r="E980" s="205"/>
      <c r="F980" s="205"/>
    </row>
    <row r="981" ht="13.5" customHeight="1">
      <c r="A981" s="182"/>
      <c r="B981" s="205"/>
      <c r="C981" s="205"/>
      <c r="D981" s="205"/>
      <c r="E981" s="205"/>
      <c r="F981" s="205"/>
    </row>
    <row r="982" ht="13.5" customHeight="1">
      <c r="A982" s="182"/>
      <c r="B982" s="205"/>
      <c r="C982" s="205"/>
      <c r="D982" s="205"/>
      <c r="E982" s="205"/>
      <c r="F982" s="205"/>
    </row>
    <row r="983" ht="13.5" customHeight="1">
      <c r="A983" s="182"/>
      <c r="B983" s="205"/>
      <c r="C983" s="205"/>
      <c r="D983" s="205"/>
      <c r="E983" s="205"/>
      <c r="F983" s="205"/>
    </row>
    <row r="984" ht="13.5" customHeight="1">
      <c r="A984" s="182"/>
      <c r="B984" s="205"/>
      <c r="C984" s="205"/>
      <c r="D984" s="205"/>
      <c r="E984" s="205"/>
      <c r="F984" s="205"/>
    </row>
    <row r="985" ht="13.5" customHeight="1">
      <c r="A985" s="182"/>
      <c r="B985" s="205"/>
      <c r="C985" s="205"/>
      <c r="D985" s="205"/>
      <c r="E985" s="205"/>
      <c r="F985" s="205"/>
    </row>
    <row r="986" ht="13.5" customHeight="1">
      <c r="A986" s="182"/>
      <c r="B986" s="205"/>
      <c r="C986" s="205"/>
      <c r="D986" s="205"/>
      <c r="E986" s="205"/>
      <c r="F986" s="205"/>
    </row>
    <row r="987" ht="13.5" customHeight="1">
      <c r="A987" s="182"/>
      <c r="B987" s="205"/>
      <c r="C987" s="205"/>
      <c r="D987" s="205"/>
      <c r="E987" s="205"/>
      <c r="F987" s="205"/>
    </row>
    <row r="988" ht="13.5" customHeight="1">
      <c r="A988" s="182"/>
      <c r="B988" s="205"/>
      <c r="C988" s="205"/>
      <c r="D988" s="205"/>
      <c r="E988" s="205"/>
      <c r="F988" s="205"/>
    </row>
    <row r="989" ht="13.5" customHeight="1">
      <c r="A989" s="182"/>
      <c r="B989" s="205"/>
      <c r="C989" s="205"/>
      <c r="D989" s="205"/>
      <c r="E989" s="205"/>
      <c r="F989" s="205"/>
    </row>
    <row r="990" ht="13.5" customHeight="1">
      <c r="A990" s="182"/>
      <c r="B990" s="205"/>
      <c r="C990" s="205"/>
      <c r="D990" s="205"/>
      <c r="E990" s="205"/>
      <c r="F990" s="205"/>
    </row>
    <row r="991" ht="13.5" customHeight="1">
      <c r="A991" s="182"/>
      <c r="B991" s="205"/>
      <c r="C991" s="205"/>
      <c r="D991" s="205"/>
      <c r="E991" s="205"/>
      <c r="F991" s="205"/>
    </row>
    <row r="992" ht="13.5" customHeight="1">
      <c r="A992" s="182"/>
      <c r="B992" s="205"/>
      <c r="C992" s="205"/>
      <c r="D992" s="205"/>
      <c r="E992" s="205"/>
      <c r="F992" s="205"/>
    </row>
    <row r="993" ht="13.5" customHeight="1">
      <c r="A993" s="182"/>
      <c r="B993" s="205"/>
      <c r="C993" s="205"/>
      <c r="D993" s="205"/>
      <c r="E993" s="205"/>
      <c r="F993" s="205"/>
    </row>
    <row r="994" ht="13.5" customHeight="1">
      <c r="A994" s="182"/>
      <c r="B994" s="205"/>
      <c r="C994" s="205"/>
      <c r="D994" s="205"/>
      <c r="E994" s="205"/>
      <c r="F994" s="205"/>
    </row>
    <row r="995" ht="13.5" customHeight="1">
      <c r="A995" s="182"/>
      <c r="B995" s="205"/>
      <c r="C995" s="205"/>
      <c r="D995" s="205"/>
      <c r="E995" s="205"/>
      <c r="F995" s="205"/>
    </row>
    <row r="996" ht="13.5" customHeight="1">
      <c r="A996" s="182"/>
      <c r="B996" s="205"/>
      <c r="C996" s="205"/>
      <c r="D996" s="205"/>
      <c r="E996" s="205"/>
      <c r="F996" s="205"/>
    </row>
    <row r="997" ht="13.5" customHeight="1">
      <c r="A997" s="182"/>
      <c r="B997" s="205"/>
      <c r="C997" s="205"/>
      <c r="D997" s="205"/>
      <c r="E997" s="205"/>
      <c r="F997" s="205"/>
    </row>
    <row r="998" ht="13.5" customHeight="1">
      <c r="A998" s="182"/>
      <c r="B998" s="205"/>
      <c r="C998" s="205"/>
      <c r="D998" s="205"/>
      <c r="E998" s="205"/>
      <c r="F998" s="205"/>
    </row>
    <row r="999" ht="13.5" customHeight="1">
      <c r="A999" s="182"/>
      <c r="B999" s="205"/>
      <c r="C999" s="205"/>
      <c r="D999" s="205"/>
      <c r="E999" s="205"/>
      <c r="F999" s="205"/>
    </row>
    <row r="1000" ht="13.5" customHeight="1">
      <c r="A1000" s="182"/>
      <c r="B1000" s="205"/>
      <c r="C1000" s="205"/>
      <c r="D1000" s="205"/>
      <c r="E1000" s="205"/>
      <c r="F1000" s="205"/>
    </row>
  </sheetData>
  <printOptions/>
  <pageMargins bottom="0.75" footer="0.0" header="0.0" left="0.7" right="0.7" top="0.75"/>
  <pageSetup paperSize="9" orientation="portrait"/>
  <drawing r:id="rId2"/>
  <legacyDrawing r:id="rId3"/>
</worksheet>
</file>