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90" tabRatio="907" firstSheet="1" activeTab="9"/>
  </bookViews>
  <sheets>
    <sheet name="设定" sheetId="1" r:id="rId1"/>
    <sheet name="评估工作日记" sheetId="34" r:id="rId2"/>
    <sheet name="物资类申报表" sheetId="32" r:id="rId3"/>
    <sheet name="设备类申报表" sheetId="33" r:id="rId4"/>
    <sheet name="物资类勘察表" sheetId="6" r:id="rId5"/>
    <sheet name="设备类勘察表" sheetId="5" r:id="rId6"/>
    <sheet name="重点设备勘察表" sheetId="26" r:id="rId7"/>
    <sheet name="被征收人承诺函" sheetId="31" r:id="rId8"/>
    <sheet name="与被征收人核对表" sheetId="29" r:id="rId9"/>
    <sheet name="资产评估汇总表" sheetId="20" r:id="rId10"/>
    <sheet name="物资类评估明细表" sheetId="16" r:id="rId11"/>
    <sheet name="机器设备及辅助设施评估明细表" sheetId="7" r:id="rId12"/>
    <sheet name="可搬迁重点设备计算表" sheetId="27" r:id="rId13"/>
    <sheet name="不可搬迁重点设备计算表" sheetId="28" r:id="rId14"/>
    <sheet name="成新率说明" sheetId="9" r:id="rId15"/>
    <sheet name="经济使用寿命参考表" sheetId="10" r:id="rId16"/>
    <sheet name="经济使用寿命（报价手册）参考表" sheetId="25" r:id="rId17"/>
    <sheet name="安装调试费率参考指标" sheetId="12" r:id="rId18"/>
    <sheet name="国内运杂费率参考指标" sheetId="13" r:id="rId19"/>
    <sheet name="设备基础费参考" sheetId="14" r:id="rId20"/>
    <sheet name="残值率参考表" sheetId="23" r:id="rId21"/>
  </sheets>
  <externalReferences>
    <externalReference r:id="rId22"/>
    <externalReference r:id="rId23"/>
  </externalReferences>
  <definedNames>
    <definedName name="_xlnm._FilterDatabase" localSheetId="8" hidden="1">与被征收人核对表!$A$5:$I$45</definedName>
    <definedName name="_xlnm._FilterDatabase" localSheetId="9" hidden="1">资产评估汇总表!$A$5:$E$18</definedName>
    <definedName name="_xlnm._FilterDatabase" localSheetId="10" hidden="1">物资类评估明细表!$A$5:$Q$45</definedName>
    <definedName name="_xlnm._FilterDatabase" localSheetId="11" hidden="1">机器设备及辅助设施评估明细表!$A$6:$BF$122</definedName>
    <definedName name="dxn">[1]dxnsjtempsheet!$A:$G</definedName>
    <definedName name="_xlnm.Print_Area" localSheetId="7">被征收人承诺函!$B$1:$H$17</definedName>
    <definedName name="_xlnm.Print_Area" localSheetId="13">不可搬迁重点设备计算表!$B$1:$H$37</definedName>
    <definedName name="_xlnm.Print_Area" localSheetId="16">'经济使用寿命（报价手册）参考表'!$A:$F</definedName>
    <definedName name="_xlnm.Print_Area" localSheetId="12">可搬迁重点设备计算表!$B$2:$H$29</definedName>
    <definedName name="_xlnm.Print_Area" localSheetId="11">机器设备及辅助设施评估明细表!$A$1:$S$119</definedName>
    <definedName name="_xlnm.Print_Area" localSheetId="10">物资类评估明细表!$A$1:$Q$42</definedName>
    <definedName name="_xlnm.Print_Area" localSheetId="6">重点设备勘察表!$B$2:$L$24</definedName>
    <definedName name="_xlnm.Print_Area" localSheetId="9">资产评估汇总表!$A$1:$F$15</definedName>
    <definedName name="_xlnm.Print_Titles" localSheetId="11">机器设备及辅助设施评估明细表!$1:$6</definedName>
    <definedName name="_xlnm.Print_Titles" localSheetId="10">物资类评估明细表!$1:$5</definedName>
    <definedName name="_xlnm.Print_Titles" localSheetId="8">与被征收人核对表!$1:$5</definedName>
    <definedName name="_xlnm.Print_Titles" localSheetId="9">资产评估汇总表!$1:$5</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858FDE64F79D48479148809EA473C502"/>
        <xdr:cNvPicPr>
          <a:picLocks noChangeAspect="1"/>
        </xdr:cNvPicPr>
      </xdr:nvPicPr>
      <xdr:blipFill>
        <a:blip r:embed="rId1"/>
        <a:stretch>
          <a:fillRect/>
        </a:stretch>
      </xdr:blipFill>
      <xdr:spPr>
        <a:xfrm>
          <a:off x="14811375" y="3294380"/>
          <a:ext cx="1657350" cy="1981200"/>
        </a:xfrm>
        <a:prstGeom prst="rect">
          <a:avLst/>
        </a:prstGeom>
        <a:noFill/>
        <a:ln w="9525">
          <a:noFill/>
        </a:ln>
      </xdr:spPr>
    </xdr:pic>
  </etc:cellImage>
  <etc:cellImage>
    <xdr:pic>
      <xdr:nvPicPr>
        <xdr:cNvPr id="3" name="ID_885608EFF39E4ADB83D63568F00A98EC"/>
        <xdr:cNvPicPr>
          <a:picLocks noChangeAspect="1"/>
        </xdr:cNvPicPr>
      </xdr:nvPicPr>
      <xdr:blipFill>
        <a:blip r:embed="rId2"/>
        <a:stretch>
          <a:fillRect/>
        </a:stretch>
      </xdr:blipFill>
      <xdr:spPr>
        <a:xfrm>
          <a:off x="14811375" y="3575685"/>
          <a:ext cx="2085975" cy="3209925"/>
        </a:xfrm>
        <a:prstGeom prst="rect">
          <a:avLst/>
        </a:prstGeom>
        <a:noFill/>
        <a:ln w="9525">
          <a:noFill/>
        </a:ln>
      </xdr:spPr>
    </xdr:pic>
  </etc:cellImage>
  <etc:cellImage>
    <xdr:pic>
      <xdr:nvPicPr>
        <xdr:cNvPr id="6" name="ID_471EFB2427C94815B7BEBE4E0C7EE085"/>
        <xdr:cNvPicPr>
          <a:picLocks noChangeAspect="1"/>
        </xdr:cNvPicPr>
      </xdr:nvPicPr>
      <xdr:blipFill>
        <a:blip r:embed="rId3"/>
        <a:stretch>
          <a:fillRect/>
        </a:stretch>
      </xdr:blipFill>
      <xdr:spPr>
        <a:xfrm>
          <a:off x="14811375" y="4982210"/>
          <a:ext cx="2095500" cy="3286125"/>
        </a:xfrm>
        <a:prstGeom prst="rect">
          <a:avLst/>
        </a:prstGeom>
        <a:noFill/>
        <a:ln w="9525">
          <a:noFill/>
        </a:ln>
      </xdr:spPr>
    </xdr:pic>
  </etc:cellImage>
  <etc:cellImage>
    <xdr:pic>
      <xdr:nvPicPr>
        <xdr:cNvPr id="7" name="ID_15E2B9C8AFE54EC5BED90AECAF20F7B5"/>
        <xdr:cNvPicPr>
          <a:picLocks noChangeAspect="1"/>
        </xdr:cNvPicPr>
      </xdr:nvPicPr>
      <xdr:blipFill>
        <a:blip r:embed="rId4"/>
        <a:stretch>
          <a:fillRect/>
        </a:stretch>
      </xdr:blipFill>
      <xdr:spPr>
        <a:xfrm>
          <a:off x="14811375" y="6951345"/>
          <a:ext cx="5772150" cy="3609975"/>
        </a:xfrm>
        <a:prstGeom prst="rect">
          <a:avLst/>
        </a:prstGeom>
        <a:noFill/>
        <a:ln w="9525">
          <a:noFill/>
        </a:ln>
      </xdr:spPr>
    </xdr:pic>
  </etc:cellImage>
  <etc:cellImage>
    <xdr:pic>
      <xdr:nvPicPr>
        <xdr:cNvPr id="8" name="ID_D8DB94AB3784405BAD3BA87266AA5405"/>
        <xdr:cNvPicPr>
          <a:picLocks noChangeAspect="1"/>
        </xdr:cNvPicPr>
      </xdr:nvPicPr>
      <xdr:blipFill>
        <a:blip r:embed="rId5"/>
        <a:stretch>
          <a:fillRect/>
        </a:stretch>
      </xdr:blipFill>
      <xdr:spPr>
        <a:xfrm>
          <a:off x="14811375" y="8639175"/>
          <a:ext cx="2047875" cy="3171825"/>
        </a:xfrm>
        <a:prstGeom prst="rect">
          <a:avLst/>
        </a:prstGeom>
        <a:noFill/>
        <a:ln w="9525">
          <a:noFill/>
        </a:ln>
      </xdr:spPr>
    </xdr:pic>
  </etc:cellImage>
  <etc:cellImage>
    <xdr:pic>
      <xdr:nvPicPr>
        <xdr:cNvPr id="9" name="ID_39DAEC5B7BA145DF93D9883213CC1F79"/>
        <xdr:cNvPicPr>
          <a:picLocks noChangeAspect="1"/>
        </xdr:cNvPicPr>
      </xdr:nvPicPr>
      <xdr:blipFill>
        <a:blip r:embed="rId6"/>
        <a:stretch>
          <a:fillRect/>
        </a:stretch>
      </xdr:blipFill>
      <xdr:spPr>
        <a:xfrm>
          <a:off x="14811375" y="8920480"/>
          <a:ext cx="1952625" cy="3400425"/>
        </a:xfrm>
        <a:prstGeom prst="rect">
          <a:avLst/>
        </a:prstGeom>
        <a:noFill/>
        <a:ln w="9525">
          <a:noFill/>
        </a:ln>
      </xdr:spPr>
    </xdr:pic>
  </etc:cellImage>
</etc:cellImages>
</file>

<file path=xl/comments1.xml><?xml version="1.0" encoding="utf-8"?>
<comments xmlns="http://schemas.openxmlformats.org/spreadsheetml/2006/main">
  <authors>
    <author>作者</author>
  </authors>
  <commentList>
    <comment ref="AF5" authorId="0">
      <text>
        <r>
          <rPr>
            <b/>
            <sz val="9"/>
            <rFont val="宋体"/>
            <charset val="134"/>
          </rPr>
          <t>华信资产评估:</t>
        </r>
        <r>
          <rPr>
            <sz val="9"/>
            <rFont val="宋体"/>
            <charset val="134"/>
          </rPr>
          <t xml:space="preserve">
公式中尚可使用年限最低设为2年，根据设备实际情况进行修改。</t>
        </r>
      </text>
    </comment>
  </commentList>
</comments>
</file>

<file path=xl/sharedStrings.xml><?xml version="1.0" encoding="utf-8"?>
<sst xmlns="http://schemas.openxmlformats.org/spreadsheetml/2006/main" count="2372" uniqueCount="1370">
  <si>
    <t>被评估单位：</t>
  </si>
  <si>
    <t>江阴市金捷利制管有限公司</t>
  </si>
  <si>
    <t>评估基准日：</t>
  </si>
  <si>
    <t>填表人、填表日期、评估人员等信息请在页脚中完成</t>
  </si>
  <si>
    <t>工作日记</t>
  </si>
  <si>
    <t>日期</t>
  </si>
  <si>
    <t>工作内容</t>
  </si>
  <si>
    <t>参与人员</t>
  </si>
  <si>
    <t>备注</t>
  </si>
  <si>
    <t>焊管机包含：剪切对焊机，储料箱（螺旋活套），焊接机组，冷切飞锯，下料架子，机组上方有加热高频</t>
  </si>
  <si>
    <t xml:space="preserve">  上午8:30到现场，了解企业设备情况，指导填写申报表</t>
  </si>
  <si>
    <t>周婕、黄佳铭</t>
  </si>
  <si>
    <t>2022-3-20~22</t>
  </si>
  <si>
    <t xml:space="preserve">  企业方微信提供申报表初稿，我们腾写整理成电子申报表，向企业反馈申报表情况，查漏补缺</t>
  </si>
  <si>
    <t xml:space="preserve">  下午13：00到现场，根据申报表，现场核实</t>
  </si>
  <si>
    <t>项目负责人：</t>
  </si>
  <si>
    <t>周婕</t>
  </si>
  <si>
    <t>评估人员：周婕</t>
  </si>
  <si>
    <t>物资搬迁费用评估申报表</t>
  </si>
  <si>
    <t>单位：元</t>
  </si>
  <si>
    <t>序号</t>
  </si>
  <si>
    <t>存货明细</t>
  </si>
  <si>
    <t>规格</t>
  </si>
  <si>
    <t>计量
单位</t>
  </si>
  <si>
    <t>账面数量</t>
  </si>
  <si>
    <t>账面金额</t>
  </si>
  <si>
    <t>实存数量</t>
  </si>
  <si>
    <t>折合吨位</t>
  </si>
  <si>
    <t>运输方式</t>
  </si>
  <si>
    <t>成品焊管</t>
  </si>
  <si>
    <t>φ10-φ50</t>
  </si>
  <si>
    <t>吨</t>
  </si>
  <si>
    <t>汽车</t>
  </si>
  <si>
    <t>成品钢带</t>
  </si>
  <si>
    <t>31mm-155mm</t>
  </si>
  <si>
    <t>铁架</t>
  </si>
  <si>
    <t>只</t>
  </si>
  <si>
    <t>储带架</t>
  </si>
  <si>
    <t>条</t>
  </si>
  <si>
    <t>储管架</t>
  </si>
  <si>
    <t>气瓶</t>
  </si>
  <si>
    <t>模具</t>
  </si>
  <si>
    <t>套</t>
  </si>
  <si>
    <t>仓库（配件）</t>
  </si>
  <si>
    <t>批</t>
  </si>
  <si>
    <t>办公室柜子</t>
  </si>
  <si>
    <t>个</t>
  </si>
  <si>
    <t>办公室椅子</t>
  </si>
  <si>
    <t>把</t>
  </si>
  <si>
    <t>办公室桌子</t>
  </si>
  <si>
    <t>办公室沙发</t>
  </si>
  <si>
    <t>食堂餐桌</t>
  </si>
  <si>
    <t>空调</t>
  </si>
  <si>
    <t>冰箱</t>
  </si>
  <si>
    <t>保险柜</t>
  </si>
  <si>
    <t>电子秤</t>
  </si>
  <si>
    <t>椅子配件管</t>
  </si>
  <si>
    <t>2000支</t>
  </si>
  <si>
    <t>手动叉车</t>
  </si>
  <si>
    <t>台</t>
  </si>
  <si>
    <t>防绣油桶</t>
  </si>
  <si>
    <t>桶</t>
  </si>
  <si>
    <t>废料框</t>
  </si>
  <si>
    <t>风机</t>
  </si>
  <si>
    <t>行车梁（闲置）</t>
  </si>
  <si>
    <t>电缆线（闲置）</t>
  </si>
  <si>
    <t>台式电脑</t>
  </si>
  <si>
    <t>笔记本电脑</t>
  </si>
  <si>
    <t>打印机</t>
  </si>
  <si>
    <t>钢板</t>
  </si>
  <si>
    <t>合计</t>
  </si>
  <si>
    <t>机器设备搬迁费用评估申报表</t>
  </si>
  <si>
    <t>设备名称</t>
  </si>
  <si>
    <t>生产厂家</t>
  </si>
  <si>
    <t>购置
日期</t>
  </si>
  <si>
    <t>数量</t>
  </si>
  <si>
    <t>是否有
购置发票</t>
  </si>
  <si>
    <t>账面
金额</t>
  </si>
  <si>
    <t>存放地点</t>
  </si>
  <si>
    <t>焊管机</t>
  </si>
  <si>
    <t>32机组</t>
  </si>
  <si>
    <t>张家港市中原制管有限公司</t>
  </si>
  <si>
    <t>2000年6月</t>
  </si>
  <si>
    <t>有</t>
  </si>
  <si>
    <t>厂区</t>
  </si>
  <si>
    <t>ZY32机组</t>
  </si>
  <si>
    <t>2004年6月</t>
  </si>
  <si>
    <t>45机组</t>
  </si>
  <si>
    <t>扬州杨永焊管设备厂</t>
  </si>
  <si>
    <t>2011年6月</t>
  </si>
  <si>
    <t>28机组</t>
  </si>
  <si>
    <t>2013年10月</t>
  </si>
  <si>
    <t>无</t>
  </si>
  <si>
    <t>钢平台</t>
  </si>
  <si>
    <t>2.7*7.3+3*1</t>
  </si>
  <si>
    <r>
      <rPr>
        <sz val="12"/>
        <rFont val="宋体"/>
        <charset val="134"/>
      </rPr>
      <t>m</t>
    </r>
    <r>
      <rPr>
        <vertAlign val="superscript"/>
        <sz val="12"/>
        <rFont val="宋体"/>
        <charset val="134"/>
      </rPr>
      <t>2</t>
    </r>
  </si>
  <si>
    <t>5.7*4.9+3*1</t>
  </si>
  <si>
    <t>4.6*3.9+3.1</t>
  </si>
  <si>
    <t>圆锯机</t>
  </si>
  <si>
    <t>YJ275Q 300型号</t>
  </si>
  <si>
    <t>江苏合丰机械制造有限公司</t>
  </si>
  <si>
    <t>2019年12</t>
  </si>
  <si>
    <t>300型号</t>
  </si>
  <si>
    <t>2016年10月</t>
  </si>
  <si>
    <t>倒角机</t>
  </si>
  <si>
    <t>/</t>
  </si>
  <si>
    <t>江阴</t>
  </si>
  <si>
    <t>2014年1月</t>
  </si>
  <si>
    <t>分剪机</t>
  </si>
  <si>
    <t>2005年1月</t>
  </si>
  <si>
    <t>全自动切管机</t>
  </si>
  <si>
    <t>YS-350CNC</t>
  </si>
  <si>
    <t>张家港友胜机械制造有限公司</t>
  </si>
  <si>
    <t>2018年10月</t>
  </si>
  <si>
    <t>空压机</t>
  </si>
  <si>
    <t>螺杆式</t>
  </si>
  <si>
    <t>泉州市华德机电设备有限公司</t>
  </si>
  <si>
    <t>2013年4月</t>
  </si>
  <si>
    <t>叉车</t>
  </si>
  <si>
    <t>3吨杭叉</t>
  </si>
  <si>
    <t>浙江杭叉</t>
  </si>
  <si>
    <t>2006年1月</t>
  </si>
  <si>
    <t>磨床</t>
  </si>
  <si>
    <t>外圆磨床</t>
  </si>
  <si>
    <t>上海机械厂</t>
  </si>
  <si>
    <t>行车</t>
  </si>
  <si>
    <t>2T</t>
  </si>
  <si>
    <t>江阴市腾祥起重机械有限公司</t>
  </si>
  <si>
    <t>2.9T</t>
  </si>
  <si>
    <t>江阴市鑫马起重机械有限公司</t>
  </si>
  <si>
    <t>2011年3月</t>
  </si>
  <si>
    <t>5T</t>
  </si>
  <si>
    <t>2012年9月</t>
  </si>
  <si>
    <t>葫芦</t>
  </si>
  <si>
    <t>800KG</t>
  </si>
  <si>
    <t>泵</t>
  </si>
  <si>
    <t>电机</t>
  </si>
  <si>
    <t>烤箱</t>
  </si>
  <si>
    <t>开水炉</t>
  </si>
  <si>
    <t>风帽</t>
  </si>
  <si>
    <t>储气罐</t>
  </si>
  <si>
    <t>切割机</t>
  </si>
  <si>
    <t>磨锯片机</t>
  </si>
  <si>
    <t>氩弧焊接机</t>
  </si>
  <si>
    <t>平头机</t>
  </si>
  <si>
    <t>A电缆线</t>
  </si>
  <si>
    <t>3*95+50</t>
  </si>
  <si>
    <t>米</t>
  </si>
  <si>
    <t>B电缆线-1</t>
  </si>
  <si>
    <t>3*185+95</t>
  </si>
  <si>
    <t>B电缆线-2</t>
  </si>
  <si>
    <t>3*120+70</t>
  </si>
  <si>
    <t>B电缆线-3</t>
  </si>
  <si>
    <t>B电缆线-4</t>
  </si>
  <si>
    <t>1#焊管机-C电缆线</t>
  </si>
  <si>
    <t>3*240+120</t>
  </si>
  <si>
    <t>2#焊管机-D电缆线-1</t>
  </si>
  <si>
    <t>2#焊管机-D电缆线-2</t>
  </si>
  <si>
    <t>3*70+35</t>
  </si>
  <si>
    <t>2#焊管机-D电缆线-3</t>
  </si>
  <si>
    <t>3*16+6</t>
  </si>
  <si>
    <t>3#焊管机-E电缆线-1</t>
  </si>
  <si>
    <t>3#焊管机-E电缆线-2</t>
  </si>
  <si>
    <t>3#焊管机-E电缆线-3</t>
  </si>
  <si>
    <t>4#焊管机-F电缆线-1</t>
  </si>
  <si>
    <t>3*150+70</t>
  </si>
  <si>
    <t>4#焊管机-F电缆线-2</t>
  </si>
  <si>
    <t>3*50+25</t>
  </si>
  <si>
    <t>4#焊管机-F电缆线-3</t>
  </si>
  <si>
    <t>办公楼-G电缆线</t>
  </si>
  <si>
    <t>3*50+35</t>
  </si>
  <si>
    <t>分剪机-H电缆线</t>
  </si>
  <si>
    <t>空压机电缆线</t>
  </si>
  <si>
    <t>3*10+4</t>
  </si>
  <si>
    <t>变电柜-墙面配电箱电缆线</t>
  </si>
  <si>
    <t>变电站变压器（含配电柜）</t>
  </si>
  <si>
    <t>800KAV</t>
  </si>
  <si>
    <t>变电站</t>
  </si>
  <si>
    <t>630KAV</t>
  </si>
  <si>
    <t>车间配电柜</t>
  </si>
  <si>
    <t>门</t>
  </si>
  <si>
    <t>车间配电箱</t>
  </si>
  <si>
    <t>监控</t>
  </si>
  <si>
    <t>2015年1月</t>
  </si>
  <si>
    <t>沟槽</t>
  </si>
  <si>
    <t>500×80</t>
  </si>
  <si>
    <t>北面厂区北</t>
  </si>
  <si>
    <t>中间厂区西</t>
  </si>
  <si>
    <t>中间厂区东</t>
  </si>
  <si>
    <t>南面厂区北</t>
  </si>
  <si>
    <t>南面厂区南</t>
  </si>
  <si>
    <t>西面门口</t>
  </si>
  <si>
    <r>
      <rPr>
        <sz val="12"/>
        <rFont val="宋体"/>
        <charset val="134"/>
      </rPr>
      <t>管道</t>
    </r>
    <r>
      <rPr>
        <sz val="10"/>
        <rFont val="Times New Roman"/>
        <charset val="134"/>
      </rPr>
      <t>PVC</t>
    </r>
  </si>
  <si>
    <t>φ100mm</t>
  </si>
  <si>
    <r>
      <rPr>
        <sz val="12"/>
        <rFont val="宋体"/>
        <charset val="134"/>
      </rPr>
      <t>管道</t>
    </r>
    <r>
      <rPr>
        <sz val="10"/>
        <rFont val="宋体"/>
        <charset val="134"/>
      </rPr>
      <t>镀锌管</t>
    </r>
  </si>
  <si>
    <t>φ60mm</t>
  </si>
  <si>
    <t>冷却池1</t>
  </si>
  <si>
    <t>m³</t>
  </si>
  <si>
    <t>冷却池2</t>
  </si>
  <si>
    <t>冷却池3</t>
  </si>
  <si>
    <t>冷却塔</t>
  </si>
  <si>
    <t>申报人签字：</t>
  </si>
  <si>
    <t>申报日期：2017-8-14</t>
  </si>
  <si>
    <t>物资搬迁费用评估勘查表</t>
  </si>
  <si>
    <t>核对
情况</t>
  </si>
  <si>
    <t>评估人员现场勘查</t>
  </si>
  <si>
    <t>是否正常</t>
  </si>
  <si>
    <t>正常</t>
  </si>
  <si>
    <t>勘查人员签字：</t>
  </si>
  <si>
    <t>勘查日期：</t>
  </si>
  <si>
    <t>机器设备搬迁费用评估勘查表</t>
  </si>
  <si>
    <t>有无
铭牌</t>
  </si>
  <si>
    <t>完好
程度</t>
  </si>
  <si>
    <t>是否有
基础</t>
  </si>
  <si>
    <t>是否特
殊运输</t>
  </si>
  <si>
    <t>重点设备现场勘察表</t>
  </si>
  <si>
    <t>被征收人：</t>
  </si>
  <si>
    <t>索引号：</t>
  </si>
  <si>
    <t>基本
情况</t>
  </si>
  <si>
    <t>规格型号</t>
  </si>
  <si>
    <t>启用日期</t>
  </si>
  <si>
    <t>不详</t>
  </si>
  <si>
    <t>安装地点</t>
  </si>
  <si>
    <t>主要材质</t>
  </si>
  <si>
    <t>铁</t>
  </si>
  <si>
    <t>设备重量</t>
  </si>
  <si>
    <t>权利状况</t>
  </si>
  <si>
    <t>现场勘察情况</t>
  </si>
  <si>
    <t>管理维护一般</t>
  </si>
  <si>
    <t>技术档案是否齐全</t>
  </si>
  <si>
    <t>否</t>
  </si>
  <si>
    <t>最近一次检测时间及检测情况</t>
  </si>
  <si>
    <t>主要技术指标</t>
  </si>
  <si>
    <t>设备</t>
  </si>
  <si>
    <t xml:space="preserve">铭牌标牌完整                       </t>
  </si>
  <si>
    <t xml:space="preserve">外表面
划伤            </t>
  </si>
  <si>
    <t>部分</t>
  </si>
  <si>
    <t xml:space="preserve">表面
锈蚀  </t>
  </si>
  <si>
    <t xml:space="preserve">机体
变形 </t>
  </si>
  <si>
    <t>有缺件</t>
  </si>
  <si>
    <t>目前</t>
  </si>
  <si>
    <t xml:space="preserve">运转
正常                                   </t>
  </si>
  <si>
    <t xml:space="preserve">能耗
增加 </t>
  </si>
  <si>
    <t xml:space="preserve">噪音
增大        </t>
  </si>
  <si>
    <t xml:space="preserve">有泄漏 </t>
  </si>
  <si>
    <t>压力
正常</t>
  </si>
  <si>
    <t>技术</t>
  </si>
  <si>
    <t xml:space="preserve">温升
正常                </t>
  </si>
  <si>
    <t>振动
增加</t>
  </si>
  <si>
    <t>状态</t>
  </si>
  <si>
    <t>其他：</t>
  </si>
  <si>
    <t>使用环境</t>
  </si>
  <si>
    <t>使</t>
  </si>
  <si>
    <t>运行状况</t>
  </si>
  <si>
    <t>按额定功率运行</t>
  </si>
  <si>
    <t>经常超载</t>
  </si>
  <si>
    <t>轻载</t>
  </si>
  <si>
    <t xml:space="preserve">在修 </t>
  </si>
  <si>
    <t>用</t>
  </si>
  <si>
    <t>工作状态</t>
  </si>
  <si>
    <t>正常运转</t>
  </si>
  <si>
    <t xml:space="preserve">在线备用     </t>
  </si>
  <si>
    <t xml:space="preserve">待修   </t>
  </si>
  <si>
    <t>降精度
使用</t>
  </si>
  <si>
    <t>情</t>
  </si>
  <si>
    <t>闲置</t>
  </si>
  <si>
    <t>闲置原因:</t>
  </si>
  <si>
    <t>况</t>
  </si>
  <si>
    <t>利用率</t>
  </si>
  <si>
    <t>故障发生率</t>
  </si>
  <si>
    <t>现在可提供的出力及产品质量</t>
  </si>
  <si>
    <t xml:space="preserve">可提供原出力的   </t>
  </si>
  <si>
    <t xml:space="preserve"> %</t>
  </si>
  <si>
    <t xml:space="preserve">废品率      </t>
  </si>
  <si>
    <t>功能先进(落后)
程度</t>
  </si>
  <si>
    <t>一般</t>
  </si>
  <si>
    <t>日常维修保养情况</t>
  </si>
  <si>
    <t>鉴定意见</t>
  </si>
  <si>
    <t>评估人员签字：</t>
  </si>
  <si>
    <t>被征收人承诺函</t>
  </si>
  <si>
    <t>江苏中泰广源房地产评估有限公司：</t>
  </si>
  <si>
    <t xml:space="preserve">    1、我们所提供的资料真实、准确、完整、合规，有关重大事项揭示充分；
</t>
  </si>
  <si>
    <t xml:space="preserve">    2、纳入本次评估范围的资产与经济行为涉及的资产范围一致，不重复、不遗漏；</t>
  </si>
  <si>
    <t xml:space="preserve">    3、所提供的企业生产经营管理资料客观、真实、科学、合理。</t>
  </si>
  <si>
    <t xml:space="preserve">    4、不干预评估机构和评估人员独立、客观、公正地执业。</t>
  </si>
  <si>
    <t xml:space="preserve">法定代表人（签字）：                               </t>
  </si>
  <si>
    <t xml:space="preserve">   年    月    日</t>
  </si>
  <si>
    <t>资产搬迁费用清查评估核对表</t>
  </si>
  <si>
    <t>型号规格</t>
  </si>
  <si>
    <t>生产
厂家</t>
  </si>
  <si>
    <t>可否
搬迁</t>
  </si>
  <si>
    <t>核对记录</t>
  </si>
  <si>
    <t>√</t>
  </si>
  <si>
    <t>备注 ：核对记录 为 对的打√，重复打×，遗漏的直接填写</t>
  </si>
  <si>
    <t xml:space="preserve">    以上内容已经本人核对，重复、遗漏项目已经补充，本人及本单位对核对内容予以认可，搬迁费用评估申报资料以此表内容为准。</t>
  </si>
  <si>
    <t>核对人签字：</t>
  </si>
  <si>
    <t>核对日期：</t>
  </si>
  <si>
    <t>法定代表人签字：</t>
  </si>
  <si>
    <t>单位盖章：</t>
  </si>
  <si>
    <t>资产搬迁费用清查评估汇总表</t>
  </si>
  <si>
    <t>金额单位：人民币元</t>
  </si>
  <si>
    <t>资产类别</t>
  </si>
  <si>
    <t>重置价</t>
  </si>
  <si>
    <t>评估价值</t>
  </si>
  <si>
    <t>机器设备</t>
  </si>
  <si>
    <t>1-1</t>
  </si>
  <si>
    <t xml:space="preserve">     其中：可搬迁设备</t>
  </si>
  <si>
    <t>1-2</t>
  </si>
  <si>
    <t xml:space="preserve">           不可搬迁设备</t>
  </si>
  <si>
    <t>物资</t>
  </si>
  <si>
    <t>2-1</t>
  </si>
  <si>
    <t xml:space="preserve">     其中：可搬迁物资</t>
  </si>
  <si>
    <t>物资搬迁费用评估明细表</t>
  </si>
  <si>
    <t>名称</t>
  </si>
  <si>
    <r>
      <rPr>
        <sz val="12"/>
        <rFont val="宋体"/>
        <charset val="134"/>
      </rPr>
      <t>成新
率</t>
    </r>
    <r>
      <rPr>
        <sz val="12"/>
        <rFont val="Times New Roman"/>
        <charset val="134"/>
      </rPr>
      <t>%</t>
    </r>
  </si>
  <si>
    <t>净值</t>
  </si>
  <si>
    <r>
      <rPr>
        <sz val="12"/>
        <rFont val="宋体"/>
        <charset val="134"/>
      </rPr>
      <t>搬迁费用费率</t>
    </r>
    <r>
      <rPr>
        <sz val="12"/>
        <rFont val="Times New Roman"/>
        <charset val="134"/>
      </rPr>
      <t>%</t>
    </r>
  </si>
  <si>
    <t>类别</t>
  </si>
  <si>
    <t>整理费
(元/吨)</t>
  </si>
  <si>
    <t>运输费</t>
  </si>
  <si>
    <t>装车费
(元/吨)</t>
  </si>
  <si>
    <t>卸车费
(元/吨)</t>
  </si>
  <si>
    <t>合计单价
（元/吨）</t>
  </si>
  <si>
    <t>询价时间</t>
  </si>
  <si>
    <t>被询价单位</t>
  </si>
  <si>
    <t>接待人</t>
  </si>
  <si>
    <t>询价途径</t>
  </si>
  <si>
    <t>询价结果</t>
  </si>
  <si>
    <t>拆整费</t>
  </si>
  <si>
    <t>运杂
费</t>
  </si>
  <si>
    <t>安装
调试</t>
  </si>
  <si>
    <t>新基
础费</t>
  </si>
  <si>
    <t>费率
小计</t>
  </si>
  <si>
    <t>运价
(元/吨/公里)</t>
  </si>
  <si>
    <t>预计搬
运公里</t>
  </si>
  <si>
    <t>运输费
（元/吨）</t>
  </si>
  <si>
    <t>电话</t>
  </si>
  <si>
    <t>传真</t>
  </si>
  <si>
    <t>网络</t>
  </si>
  <si>
    <t>购置发票</t>
  </si>
  <si>
    <t>其他</t>
  </si>
  <si>
    <t>单价（元车）</t>
  </si>
  <si>
    <t>评估价值（元）</t>
  </si>
  <si>
    <t>可</t>
  </si>
  <si>
    <t>三类货物</t>
  </si>
  <si>
    <r>
      <rPr>
        <sz val="11"/>
        <rFont val="宋体"/>
        <charset val="134"/>
      </rPr>
      <t>2019</t>
    </r>
    <r>
      <rPr>
        <sz val="10"/>
        <rFont val="宋体"/>
        <charset val="134"/>
      </rPr>
      <t>年</t>
    </r>
    <r>
      <rPr>
        <sz val="10"/>
        <rFont val="Arial Narrow"/>
        <charset val="134"/>
      </rPr>
      <t>12</t>
    </r>
    <r>
      <rPr>
        <sz val="10"/>
        <rFont val="宋体"/>
        <charset val="134"/>
      </rPr>
      <t>月</t>
    </r>
    <r>
      <rPr>
        <sz val="10"/>
        <rFont val="Arial Narrow"/>
        <charset val="134"/>
      </rPr>
      <t>30</t>
    </r>
    <r>
      <rPr>
        <sz val="10"/>
        <rFont val="宋体"/>
        <charset val="134"/>
      </rPr>
      <t>日</t>
    </r>
  </si>
  <si>
    <t>江阴市如意搬家运输有限公司</t>
  </si>
  <si>
    <t>孙经理</t>
  </si>
  <si>
    <t>500元/辆</t>
  </si>
  <si>
    <t>净值均保留至个位数</t>
  </si>
  <si>
    <t>评估值均保留至个位数</t>
  </si>
  <si>
    <t>注：本表作为报告附送的明细表，每页格式设置为20行，最后页可只设置19行+合计行</t>
  </si>
  <si>
    <t xml:space="preserve">    填表人、填表日期及评估人员在页脚设置中完成</t>
  </si>
  <si>
    <t>机器设备及辅助设施评估明细表</t>
  </si>
  <si>
    <t>是否考虑勘察法计算成新率：</t>
  </si>
  <si>
    <t>是</t>
  </si>
  <si>
    <t>残值率%</t>
  </si>
  <si>
    <r>
      <rPr>
        <sz val="9"/>
        <rFont val="宋体"/>
        <charset val="134"/>
      </rPr>
      <t>购置含税
单价</t>
    </r>
  </si>
  <si>
    <r>
      <rPr>
        <sz val="9"/>
        <rFont val="宋体"/>
        <charset val="134"/>
      </rPr>
      <t>询价依据</t>
    </r>
  </si>
  <si>
    <t>可搬迁设备不考虑此项</t>
  </si>
  <si>
    <r>
      <rPr>
        <sz val="9"/>
        <rFont val="宋体"/>
        <charset val="134"/>
      </rPr>
      <t>重置成本</t>
    </r>
  </si>
  <si>
    <t>按实际情况考虑</t>
  </si>
  <si>
    <t>成新率
%</t>
  </si>
  <si>
    <t>不可搬迁设备残值</t>
  </si>
  <si>
    <t>定额搬迁费</t>
  </si>
  <si>
    <t>搬迁损失费率%</t>
  </si>
  <si>
    <r>
      <rPr>
        <sz val="9"/>
        <rFont val="宋体"/>
        <charset val="134"/>
      </rPr>
      <t>运杂费率</t>
    </r>
    <r>
      <rPr>
        <sz val="9"/>
        <rFont val="Times New Roman"/>
        <charset val="134"/>
      </rPr>
      <t>%</t>
    </r>
  </si>
  <si>
    <r>
      <rPr>
        <sz val="9"/>
        <rFont val="宋体"/>
        <charset val="134"/>
      </rPr>
      <t>安装调试率</t>
    </r>
    <r>
      <rPr>
        <sz val="9"/>
        <rFont val="Times New Roman"/>
        <charset val="134"/>
      </rPr>
      <t>%</t>
    </r>
  </si>
  <si>
    <r>
      <rPr>
        <sz val="9"/>
        <rFont val="宋体"/>
        <charset val="134"/>
      </rPr>
      <t>基础费率</t>
    </r>
    <r>
      <rPr>
        <sz val="9"/>
        <rFont val="Times New Roman"/>
        <charset val="134"/>
      </rPr>
      <t>%</t>
    </r>
  </si>
  <si>
    <r>
      <rPr>
        <sz val="9"/>
        <rFont val="宋体"/>
        <charset val="134"/>
      </rPr>
      <t>前期费用率</t>
    </r>
    <r>
      <rPr>
        <sz val="9"/>
        <rFont val="Times New Roman"/>
        <charset val="134"/>
      </rPr>
      <t>%</t>
    </r>
  </si>
  <si>
    <r>
      <rPr>
        <sz val="9"/>
        <rFont val="宋体"/>
        <charset val="134"/>
      </rPr>
      <t>资金成本率</t>
    </r>
    <r>
      <rPr>
        <sz val="9"/>
        <rFont val="Times New Roman"/>
        <charset val="134"/>
      </rPr>
      <t>%</t>
    </r>
  </si>
  <si>
    <t>经济寿
命年限</t>
  </si>
  <si>
    <t>已使用
年限</t>
  </si>
  <si>
    <t>尚可使
用年限</t>
  </si>
  <si>
    <t>年限法
成新率%</t>
  </si>
  <si>
    <t>年限法
权重</t>
  </si>
  <si>
    <t>外观(20分）</t>
  </si>
  <si>
    <t>机械（50分）</t>
  </si>
  <si>
    <t>电气（30分）</t>
  </si>
  <si>
    <t>勘察
成新率</t>
  </si>
  <si>
    <t>勘察法
权重</t>
  </si>
  <si>
    <t>功能性
贬值率%</t>
  </si>
  <si>
    <t>经济性
贬值率%</t>
  </si>
  <si>
    <t>设备类别</t>
  </si>
  <si>
    <t>残值率</t>
  </si>
  <si>
    <t>其他费率</t>
  </si>
  <si>
    <t>取值说明及考虑因素</t>
  </si>
  <si>
    <t>达标程度</t>
  </si>
  <si>
    <t>打分</t>
  </si>
  <si>
    <t>发票等</t>
  </si>
  <si>
    <t>勘察法</t>
  </si>
  <si>
    <t>其他(有残余价值的设备设施)</t>
  </si>
  <si>
    <t>厂家咨询18912667575</t>
  </si>
  <si>
    <t>常规</t>
  </si>
  <si>
    <t>同倒角机</t>
  </si>
  <si>
    <t>输电线路</t>
  </si>
  <si>
    <t>2家企业共用</t>
  </si>
  <si>
    <t>供配电设备(包括变压器)</t>
  </si>
  <si>
    <t>年限法</t>
  </si>
  <si>
    <t>设备基础</t>
  </si>
  <si>
    <t>中度磨损</t>
  </si>
  <si>
    <t>工业管道(含阀门)</t>
  </si>
  <si>
    <t>良好</t>
  </si>
  <si>
    <t>轻度磨损</t>
  </si>
  <si>
    <t>可搬迁</t>
  </si>
  <si>
    <t>不可搬迁</t>
  </si>
  <si>
    <r>
      <rPr>
        <b/>
        <sz val="16"/>
        <color theme="1"/>
        <rFont val="宋体"/>
        <charset val="134"/>
      </rPr>
      <t>可搬迁续用的重点设备计算表</t>
    </r>
  </si>
  <si>
    <r>
      <rPr>
        <sz val="10"/>
        <color theme="1"/>
        <rFont val="宋体"/>
        <charset val="134"/>
      </rPr>
      <t>索引号：</t>
    </r>
  </si>
  <si>
    <r>
      <rPr>
        <sz val="10"/>
        <color theme="1"/>
        <rFont val="宋体"/>
        <charset val="134"/>
      </rPr>
      <t>明细表序号</t>
    </r>
  </si>
  <si>
    <r>
      <rPr>
        <sz val="10"/>
        <color theme="1"/>
        <rFont val="宋体"/>
        <charset val="134"/>
      </rPr>
      <t>设备名称</t>
    </r>
  </si>
  <si>
    <r>
      <rPr>
        <sz val="10"/>
        <color theme="1"/>
        <rFont val="宋体"/>
        <charset val="134"/>
      </rPr>
      <t>规格型号</t>
    </r>
  </si>
  <si>
    <r>
      <rPr>
        <sz val="10"/>
        <color theme="1"/>
        <rFont val="宋体"/>
        <charset val="134"/>
      </rPr>
      <t>设备编号</t>
    </r>
  </si>
  <si>
    <r>
      <rPr>
        <sz val="10"/>
        <color theme="1"/>
        <rFont val="宋体"/>
        <charset val="134"/>
      </rPr>
      <t>生产厂家</t>
    </r>
  </si>
  <si>
    <r>
      <rPr>
        <sz val="10"/>
        <color theme="1"/>
        <rFont val="宋体"/>
        <charset val="134"/>
      </rPr>
      <t>购买时间</t>
    </r>
  </si>
  <si>
    <r>
      <rPr>
        <sz val="10"/>
        <color theme="1"/>
        <rFont val="宋体"/>
        <charset val="134"/>
      </rPr>
      <t>账面原值</t>
    </r>
  </si>
  <si>
    <r>
      <rPr>
        <sz val="10"/>
        <color theme="1"/>
        <rFont val="宋体"/>
        <charset val="134"/>
      </rPr>
      <t>账面净值</t>
    </r>
  </si>
  <si>
    <r>
      <rPr>
        <sz val="10"/>
        <color theme="1"/>
        <rFont val="宋体"/>
        <charset val="134"/>
      </rPr>
      <t>启用时间</t>
    </r>
  </si>
  <si>
    <t>搬迁费用评估计算如下：</t>
  </si>
  <si>
    <r>
      <rPr>
        <sz val="10"/>
        <color theme="1"/>
        <rFont val="宋体"/>
        <charset val="134"/>
      </rPr>
      <t>项目</t>
    </r>
  </si>
  <si>
    <t>费率标准%</t>
  </si>
  <si>
    <r>
      <rPr>
        <sz val="10"/>
        <color theme="1"/>
        <rFont val="宋体"/>
        <charset val="134"/>
      </rPr>
      <t>金额
（元）</t>
    </r>
  </si>
  <si>
    <r>
      <rPr>
        <sz val="10"/>
        <color theme="1"/>
        <rFont val="宋体"/>
        <charset val="134"/>
      </rPr>
      <t>备注及索引</t>
    </r>
  </si>
  <si>
    <r>
      <rPr>
        <sz val="10"/>
        <color theme="1"/>
        <rFont val="宋体"/>
        <charset val="134"/>
      </rPr>
      <t>参考项目</t>
    </r>
  </si>
  <si>
    <r>
      <rPr>
        <sz val="10"/>
        <color theme="1"/>
        <rFont val="宋体"/>
        <charset val="134"/>
      </rPr>
      <t>费率参考</t>
    </r>
  </si>
  <si>
    <r>
      <rPr>
        <sz val="10"/>
        <color theme="1"/>
        <rFont val="宋体"/>
        <charset val="134"/>
      </rPr>
      <t>设备重置价</t>
    </r>
  </si>
  <si>
    <t>拆整费率%</t>
  </si>
  <si>
    <r>
      <rPr>
        <sz val="10"/>
        <color theme="1"/>
        <rFont val="宋体"/>
        <charset val="134"/>
      </rPr>
      <t>按安装调试费的</t>
    </r>
    <r>
      <rPr>
        <sz val="10"/>
        <color theme="1"/>
        <rFont val="Times New Roman"/>
        <charset val="134"/>
      </rPr>
      <t>50%</t>
    </r>
  </si>
  <si>
    <t>运杂费率%</t>
  </si>
  <si>
    <t>运距、体积重量、运输方式综合确定</t>
  </si>
  <si>
    <t>安装调试费率%</t>
  </si>
  <si>
    <t xml:space="preserve">一般机加工设备              </t>
  </si>
  <si>
    <t>新基础费率%</t>
  </si>
  <si>
    <t>流水线装配车间地坑&gt;1m</t>
  </si>
  <si>
    <t>搬迁费用费率%</t>
  </si>
  <si>
    <t>2+3+4+5</t>
  </si>
  <si>
    <t>搬迁费用评估值</t>
  </si>
  <si>
    <r>
      <rPr>
        <sz val="10"/>
        <color theme="1"/>
        <rFont val="Times New Roman"/>
        <charset val="134"/>
      </rPr>
      <t>1×</t>
    </r>
    <r>
      <rPr>
        <sz val="10"/>
        <color theme="1"/>
        <rFont val="Times New Roman"/>
        <charset val="134"/>
      </rPr>
      <t>6</t>
    </r>
  </si>
  <si>
    <t>设备重置价的取值：</t>
  </si>
  <si>
    <t>评估人员：</t>
  </si>
  <si>
    <t>复核人员：</t>
  </si>
  <si>
    <t>不可搬迁续用的重点设备计算表</t>
  </si>
  <si>
    <t>项目</t>
  </si>
  <si>
    <t>费率标准</t>
  </si>
  <si>
    <t>计算式</t>
  </si>
  <si>
    <t>金额</t>
  </si>
  <si>
    <t>备注及索引</t>
  </si>
  <si>
    <t>设备购置价</t>
  </si>
  <si>
    <t>运杂费</t>
  </si>
  <si>
    <t>1×费率</t>
  </si>
  <si>
    <t>基础费</t>
  </si>
  <si>
    <t>安装调试费</t>
  </si>
  <si>
    <t>工程造价小计</t>
  </si>
  <si>
    <t>1+2+3+4</t>
  </si>
  <si>
    <t>工程其他费用</t>
  </si>
  <si>
    <t>5×费率</t>
  </si>
  <si>
    <t>资金成本</t>
  </si>
  <si>
    <t>（5+6）×利率×工期/2</t>
  </si>
  <si>
    <r>
      <rPr>
        <sz val="10"/>
        <color theme="1"/>
        <rFont val="宋体"/>
        <charset val="134"/>
      </rPr>
      <t>按</t>
    </r>
    <r>
      <rPr>
        <sz val="10"/>
        <color theme="1"/>
        <rFont val="Times New Roman"/>
        <charset val="134"/>
      </rPr>
      <t>1</t>
    </r>
    <r>
      <rPr>
        <sz val="10"/>
        <color theme="1"/>
        <rFont val="宋体"/>
        <charset val="134"/>
      </rPr>
      <t>年工期均匀投入考虑</t>
    </r>
  </si>
  <si>
    <r>
      <rPr>
        <sz val="10"/>
        <color theme="1"/>
        <rFont val="宋体"/>
        <charset val="134"/>
      </rPr>
      <t>一</t>
    </r>
    <r>
      <rPr>
        <sz val="10"/>
        <color theme="1"/>
        <rFont val="Times New Roman"/>
        <charset val="134"/>
      </rPr>
      <t>.</t>
    </r>
    <r>
      <rPr>
        <sz val="10"/>
        <color theme="1"/>
        <rFont val="宋体"/>
        <charset val="134"/>
      </rPr>
      <t>、重置成本</t>
    </r>
  </si>
  <si>
    <t>5+6+7</t>
  </si>
  <si>
    <t>二、经济寿命年限</t>
  </si>
  <si>
    <t>已使用年限</t>
  </si>
  <si>
    <t>尚可使用年限</t>
  </si>
  <si>
    <t>项目名称</t>
  </si>
  <si>
    <t>参考标准分</t>
  </si>
  <si>
    <t>评分</t>
  </si>
  <si>
    <t>外  观
（20分）</t>
  </si>
  <si>
    <t>全新</t>
  </si>
  <si>
    <t>较差</t>
  </si>
  <si>
    <t>机  械
（50分）</t>
  </si>
  <si>
    <t>重度磨损</t>
  </si>
  <si>
    <t>电  气
（30分）</t>
  </si>
  <si>
    <t>总分</t>
  </si>
  <si>
    <t>年限法成新率</t>
  </si>
  <si>
    <t>观察法成新率</t>
  </si>
  <si>
    <t>综合成新率</t>
  </si>
  <si>
    <t>选择只采用年限法</t>
  </si>
  <si>
    <t>设备残值参考项目</t>
  </si>
  <si>
    <t>其他(无残余价值的设备设施)</t>
  </si>
  <si>
    <r>
      <rPr>
        <sz val="10"/>
        <color theme="1"/>
        <rFont val="宋体"/>
        <charset val="134"/>
      </rPr>
      <t>重置成本</t>
    </r>
    <r>
      <rPr>
        <sz val="10"/>
        <color theme="1"/>
        <rFont val="Times New Roman"/>
        <charset val="134"/>
      </rPr>
      <t>×</t>
    </r>
    <r>
      <rPr>
        <sz val="10"/>
        <color theme="1"/>
        <rFont val="宋体"/>
        <charset val="134"/>
      </rPr>
      <t>（综合成新率</t>
    </r>
    <r>
      <rPr>
        <sz val="10"/>
        <color theme="1"/>
        <rFont val="Times New Roman"/>
        <charset val="134"/>
      </rPr>
      <t>-</t>
    </r>
    <r>
      <rPr>
        <sz val="10"/>
        <color theme="1"/>
        <rFont val="宋体"/>
        <charset val="134"/>
      </rPr>
      <t>残值率）</t>
    </r>
  </si>
  <si>
    <r>
      <rPr>
        <sz val="10"/>
        <color theme="1"/>
        <rFont val="宋体"/>
        <charset val="134"/>
      </rPr>
      <t>朱正洪</t>
    </r>
    <r>
      <rPr>
        <sz val="10"/>
        <color theme="1"/>
        <rFont val="Times New Roman"/>
        <charset val="134"/>
      </rPr>
      <t xml:space="preserve"> </t>
    </r>
    <r>
      <rPr>
        <sz val="10"/>
        <color theme="1"/>
        <rFont val="宋体"/>
        <charset val="134"/>
      </rPr>
      <t>徐林</t>
    </r>
    <r>
      <rPr>
        <sz val="10"/>
        <color theme="1"/>
        <rFont val="Times New Roman"/>
        <charset val="134"/>
      </rPr>
      <t xml:space="preserve"> </t>
    </r>
    <r>
      <rPr>
        <sz val="10"/>
        <color theme="1"/>
        <rFont val="宋体"/>
        <charset val="134"/>
      </rPr>
      <t>任晓峰</t>
    </r>
  </si>
  <si>
    <t>勘察成新率参考取值</t>
  </si>
  <si>
    <r>
      <rPr>
        <sz val="11"/>
        <color theme="1"/>
        <rFont val="Arial"/>
        <charset val="134"/>
      </rPr>
      <t xml:space="preserve">  </t>
    </r>
    <r>
      <rPr>
        <sz val="11"/>
        <color theme="1"/>
        <rFont val="宋体"/>
        <charset val="134"/>
      </rPr>
      <t>新旧情况</t>
    </r>
    <r>
      <rPr>
        <sz val="11"/>
        <color theme="1"/>
        <rFont val="Arial"/>
        <charset val="134"/>
      </rPr>
      <t xml:space="preserve">        </t>
    </r>
  </si>
  <si>
    <r>
      <rPr>
        <sz val="11"/>
        <color theme="1"/>
        <rFont val="Arial"/>
        <charset val="134"/>
      </rPr>
      <t xml:space="preserve">        </t>
    </r>
    <r>
      <rPr>
        <sz val="11"/>
        <color theme="1"/>
        <rFont val="宋体"/>
        <charset val="134"/>
      </rPr>
      <t>状</t>
    </r>
    <r>
      <rPr>
        <sz val="11"/>
        <color theme="1"/>
        <rFont val="Arial"/>
        <charset val="134"/>
      </rPr>
      <t xml:space="preserve">  </t>
    </r>
    <r>
      <rPr>
        <sz val="11"/>
        <color theme="1"/>
        <rFont val="宋体"/>
        <charset val="134"/>
      </rPr>
      <t>态</t>
    </r>
    <r>
      <rPr>
        <sz val="11"/>
        <color theme="1"/>
        <rFont val="Arial"/>
        <charset val="134"/>
      </rPr>
      <t xml:space="preserve">  </t>
    </r>
    <r>
      <rPr>
        <sz val="11"/>
        <color theme="1"/>
        <rFont val="宋体"/>
        <charset val="134"/>
      </rPr>
      <t>说</t>
    </r>
    <r>
      <rPr>
        <sz val="11"/>
        <color theme="1"/>
        <rFont val="Arial"/>
        <charset val="134"/>
      </rPr>
      <t xml:space="preserve">  </t>
    </r>
    <r>
      <rPr>
        <sz val="11"/>
        <color theme="1"/>
        <rFont val="宋体"/>
        <charset val="134"/>
      </rPr>
      <t>明</t>
    </r>
    <r>
      <rPr>
        <sz val="11"/>
        <color theme="1"/>
        <rFont val="Arial"/>
        <charset val="134"/>
      </rPr>
      <t xml:space="preserve">                                      </t>
    </r>
  </si>
  <si>
    <r>
      <rPr>
        <sz val="11"/>
        <color theme="1"/>
        <rFont val="Arial"/>
        <charset val="134"/>
      </rPr>
      <t xml:space="preserve"> </t>
    </r>
    <r>
      <rPr>
        <sz val="11"/>
        <color theme="1"/>
        <rFont val="宋体"/>
        <charset val="134"/>
      </rPr>
      <t>成新率</t>
    </r>
    <r>
      <rPr>
        <sz val="11"/>
        <color theme="1"/>
        <rFont val="Arial"/>
        <charset val="134"/>
      </rPr>
      <t>(</t>
    </r>
    <r>
      <rPr>
        <sz val="11"/>
        <color theme="1"/>
        <rFont val="宋体"/>
        <charset val="134"/>
      </rPr>
      <t>％）</t>
    </r>
    <r>
      <rPr>
        <sz val="11"/>
        <color theme="1"/>
        <rFont val="Arial"/>
        <charset val="134"/>
      </rPr>
      <t xml:space="preserve">    </t>
    </r>
  </si>
  <si>
    <t xml:space="preserve">                    </t>
  </si>
  <si>
    <r>
      <rPr>
        <sz val="11"/>
        <color theme="1"/>
        <rFont val="宋体"/>
        <charset val="134"/>
      </rPr>
      <t>全新或使用不久的设备。</t>
    </r>
    <r>
      <rPr>
        <sz val="11"/>
        <color rgb="FF0000FF"/>
        <rFont val="宋体"/>
        <charset val="134"/>
      </rPr>
      <t>在用状态良好，能按设计要求正常使用，无异常现象并质量达标。</t>
    </r>
    <r>
      <rPr>
        <sz val="11"/>
        <color theme="1"/>
        <rFont val="Arial"/>
        <charset val="134"/>
      </rPr>
      <t xml:space="preserve">                          </t>
    </r>
  </si>
  <si>
    <t xml:space="preserve">                  </t>
  </si>
  <si>
    <t>外  观
(20分)</t>
  </si>
  <si>
    <t>I</t>
  </si>
  <si>
    <r>
      <rPr>
        <sz val="11"/>
        <color theme="1"/>
        <rFont val="Arial"/>
        <charset val="134"/>
      </rPr>
      <t xml:space="preserve"> </t>
    </r>
    <r>
      <rPr>
        <sz val="11"/>
        <color theme="1"/>
        <rFont val="宋体"/>
        <charset val="134"/>
      </rPr>
      <t>新设备</t>
    </r>
    <r>
      <rPr>
        <sz val="11"/>
        <color theme="1"/>
        <rFont val="Arial"/>
        <charset val="134"/>
      </rPr>
      <t xml:space="preserve">          </t>
    </r>
  </si>
  <si>
    <t xml:space="preserve">     100-90       </t>
  </si>
  <si>
    <r>
      <rPr>
        <sz val="11"/>
        <color theme="1"/>
        <rFont val="宋体"/>
        <charset val="134"/>
      </rPr>
      <t>已使用一年以上或经过第一次大修恢复原设计性能使用不久的设备，在用状态良好，能保持原有性能正常使用。未出现过较大故障</t>
    </r>
    <r>
      <rPr>
        <sz val="11"/>
        <color theme="1"/>
        <rFont val="Arial"/>
        <charset val="134"/>
      </rPr>
      <t xml:space="preserve"> </t>
    </r>
    <r>
      <rPr>
        <sz val="11"/>
        <color theme="1"/>
        <rFont val="宋体"/>
        <charset val="134"/>
      </rPr>
      <t>。</t>
    </r>
    <r>
      <rPr>
        <sz val="11"/>
        <color theme="1"/>
        <rFont val="Arial"/>
        <charset val="134"/>
      </rPr>
      <t xml:space="preserve">                               </t>
    </r>
  </si>
  <si>
    <t>II</t>
  </si>
  <si>
    <r>
      <rPr>
        <sz val="11"/>
        <color theme="1"/>
        <rFont val="Arial"/>
        <charset val="134"/>
      </rPr>
      <t xml:space="preserve"> </t>
    </r>
    <r>
      <rPr>
        <sz val="11"/>
        <color theme="1"/>
        <rFont val="宋体"/>
        <charset val="134"/>
      </rPr>
      <t>较新设备</t>
    </r>
    <r>
      <rPr>
        <sz val="11"/>
        <color theme="1"/>
        <rFont val="Arial"/>
        <charset val="134"/>
      </rPr>
      <t xml:space="preserve">        </t>
    </r>
  </si>
  <si>
    <r>
      <rPr>
        <sz val="11"/>
        <color theme="1"/>
        <rFont val="Arial"/>
        <charset val="134"/>
      </rPr>
      <t xml:space="preserve">      </t>
    </r>
    <r>
      <rPr>
        <sz val="11"/>
        <color rgb="FF0000FF"/>
        <rFont val="Arial"/>
        <charset val="134"/>
      </rPr>
      <t>90</t>
    </r>
    <r>
      <rPr>
        <sz val="11"/>
        <color theme="1"/>
        <rFont val="Arial"/>
        <charset val="134"/>
      </rPr>
      <t xml:space="preserve">-65       </t>
    </r>
  </si>
  <si>
    <t>机  械
(50分)</t>
  </si>
  <si>
    <r>
      <rPr>
        <sz val="11"/>
        <color theme="1"/>
        <rFont val="宋体"/>
        <charset val="134"/>
      </rPr>
      <t>已使用相当时问或大修后已使用一定时间的设备，能基本保持原设计性能，满足现加工工艺要求，零部件完整，能正常使用的设备。</t>
    </r>
    <r>
      <rPr>
        <sz val="11"/>
        <color theme="1"/>
        <rFont val="Arial"/>
        <charset val="134"/>
      </rPr>
      <t xml:space="preserve">                                                    </t>
    </r>
  </si>
  <si>
    <t>III</t>
  </si>
  <si>
    <r>
      <rPr>
        <sz val="11"/>
        <color theme="1"/>
        <rFont val="宋体"/>
        <charset val="134"/>
      </rPr>
      <t>半新旧设备</t>
    </r>
    <r>
      <rPr>
        <sz val="11"/>
        <color theme="1"/>
        <rFont val="Arial"/>
        <charset val="134"/>
      </rPr>
      <t xml:space="preserve">      </t>
    </r>
  </si>
  <si>
    <t xml:space="preserve">      65-40       </t>
  </si>
  <si>
    <t>IV</t>
  </si>
  <si>
    <t>巳使用较长时间，在用状态一般，性能明显下降，使用中故障较多，经维护仍能满足工艺要求，可以安全使用的设备。</t>
  </si>
  <si>
    <t>老旧或较老旧设备</t>
  </si>
  <si>
    <t>40-15</t>
  </si>
  <si>
    <r>
      <rPr>
        <sz val="11"/>
        <color theme="1"/>
        <rFont val="宋体"/>
        <charset val="134"/>
      </rPr>
      <t>性能已严重劣化，目前只能勉强维持使用，即待更新的设备。或已停用无修复价值的设备。以及国家或行业明文规定限期淘汰，禁止继续使用的设备。</t>
    </r>
    <r>
      <rPr>
        <sz val="11"/>
        <color theme="1"/>
        <rFont val="Arial"/>
        <charset val="134"/>
      </rPr>
      <t xml:space="preserve">                                        </t>
    </r>
  </si>
  <si>
    <t>V</t>
  </si>
  <si>
    <r>
      <rPr>
        <sz val="11"/>
        <color theme="1"/>
        <rFont val="宋体"/>
        <charset val="134"/>
      </rPr>
      <t>待处理设备</t>
    </r>
    <r>
      <rPr>
        <sz val="11"/>
        <color theme="1"/>
        <rFont val="Arial"/>
        <charset val="134"/>
      </rPr>
      <t xml:space="preserve">      </t>
    </r>
  </si>
  <si>
    <t xml:space="preserve">      15-0        </t>
  </si>
  <si>
    <r>
      <rPr>
        <sz val="11"/>
        <color theme="1"/>
        <rFont val="Arial"/>
        <charset val="134"/>
      </rPr>
      <t xml:space="preserve">  </t>
    </r>
    <r>
      <rPr>
        <sz val="11"/>
        <color theme="1"/>
        <rFont val="宋体"/>
        <charset val="134"/>
      </rPr>
      <t>操</t>
    </r>
    <r>
      <rPr>
        <sz val="11"/>
        <color theme="1"/>
        <rFont val="Arial"/>
        <charset val="134"/>
      </rPr>
      <t xml:space="preserve">  </t>
    </r>
  </si>
  <si>
    <r>
      <rPr>
        <sz val="11"/>
        <color theme="1"/>
        <rFont val="Arial"/>
        <charset val="134"/>
      </rPr>
      <t>1</t>
    </r>
    <r>
      <rPr>
        <sz val="11"/>
        <color theme="1"/>
        <rFont val="宋体"/>
        <charset val="134"/>
      </rPr>
      <t>．首先将待评估的设备界定类别。</t>
    </r>
    <r>
      <rPr>
        <sz val="11"/>
        <color theme="1"/>
        <rFont val="Arial"/>
        <charset val="134"/>
      </rPr>
      <t xml:space="preserve">                                                                       </t>
    </r>
  </si>
  <si>
    <r>
      <rPr>
        <sz val="11"/>
        <color theme="1"/>
        <rFont val="Arial"/>
        <charset val="134"/>
      </rPr>
      <t xml:space="preserve">  </t>
    </r>
    <r>
      <rPr>
        <sz val="11"/>
        <color theme="1"/>
        <rFont val="宋体"/>
        <charset val="134"/>
      </rPr>
      <t>作</t>
    </r>
    <r>
      <rPr>
        <sz val="11"/>
        <color theme="1"/>
        <rFont val="Arial"/>
        <charset val="134"/>
      </rPr>
      <t xml:space="preserve">  </t>
    </r>
  </si>
  <si>
    <r>
      <rPr>
        <sz val="11"/>
        <color theme="1"/>
        <rFont val="Arial"/>
        <charset val="134"/>
      </rPr>
      <t xml:space="preserve">    1—1  </t>
    </r>
    <r>
      <rPr>
        <sz val="11"/>
        <color theme="1"/>
        <rFont val="宋体"/>
        <charset val="134"/>
      </rPr>
      <t>先评定</t>
    </r>
    <r>
      <rPr>
        <sz val="11"/>
        <color theme="1"/>
        <rFont val="Arial"/>
        <charset val="134"/>
      </rPr>
      <t>I</t>
    </r>
    <r>
      <rPr>
        <sz val="11"/>
        <color theme="1"/>
        <rFont val="宋体"/>
        <charset val="134"/>
      </rPr>
      <t>类</t>
    </r>
    <r>
      <rPr>
        <sz val="11"/>
        <color theme="1"/>
        <rFont val="Arial"/>
        <charset val="134"/>
      </rPr>
      <t>(</t>
    </r>
    <r>
      <rPr>
        <sz val="11"/>
        <color theme="1"/>
        <rFont val="宋体"/>
        <charset val="134"/>
      </rPr>
      <t>新设备）和</t>
    </r>
    <r>
      <rPr>
        <sz val="11"/>
        <color theme="1"/>
        <rFont val="Arial"/>
        <charset val="134"/>
      </rPr>
      <t>V</t>
    </r>
    <r>
      <rPr>
        <sz val="11"/>
        <color theme="1"/>
        <rFont val="宋体"/>
        <charset val="134"/>
      </rPr>
      <t>类</t>
    </r>
    <r>
      <rPr>
        <sz val="11"/>
        <color theme="1"/>
        <rFont val="Arial"/>
        <charset val="134"/>
      </rPr>
      <t>(</t>
    </r>
    <r>
      <rPr>
        <sz val="11"/>
        <color theme="1"/>
        <rFont val="宋体"/>
        <charset val="134"/>
      </rPr>
      <t>待处理设备）。</t>
    </r>
    <r>
      <rPr>
        <sz val="11"/>
        <color theme="1"/>
        <rFont val="Arial"/>
        <charset val="134"/>
      </rPr>
      <t xml:space="preserve">                                                        </t>
    </r>
  </si>
  <si>
    <r>
      <rPr>
        <sz val="11"/>
        <color theme="1"/>
        <rFont val="Arial"/>
        <charset val="134"/>
      </rPr>
      <t xml:space="preserve">  </t>
    </r>
    <r>
      <rPr>
        <sz val="11"/>
        <color theme="1"/>
        <rFont val="宋体"/>
        <charset val="134"/>
      </rPr>
      <t>说</t>
    </r>
    <r>
      <rPr>
        <sz val="11"/>
        <color theme="1"/>
        <rFont val="Arial"/>
        <charset val="134"/>
      </rPr>
      <t xml:space="preserve">  </t>
    </r>
  </si>
  <si>
    <r>
      <rPr>
        <sz val="11"/>
        <color theme="1"/>
        <rFont val="Arial"/>
        <charset val="134"/>
      </rPr>
      <t xml:space="preserve">    1—2  </t>
    </r>
    <r>
      <rPr>
        <sz val="11"/>
        <color theme="1"/>
        <rFont val="宋体"/>
        <charset val="134"/>
      </rPr>
      <t>除</t>
    </r>
    <r>
      <rPr>
        <sz val="11"/>
        <color theme="1"/>
        <rFont val="Arial"/>
        <charset val="134"/>
      </rPr>
      <t>I</t>
    </r>
    <r>
      <rPr>
        <sz val="11"/>
        <color theme="1"/>
        <rFont val="宋体"/>
        <charset val="134"/>
      </rPr>
      <t>、</t>
    </r>
    <r>
      <rPr>
        <sz val="11"/>
        <color theme="1"/>
        <rFont val="Arial"/>
        <charset val="134"/>
      </rPr>
      <t>V</t>
    </r>
    <r>
      <rPr>
        <sz val="11"/>
        <color theme="1"/>
        <rFont val="宋体"/>
        <charset val="134"/>
      </rPr>
      <t>类外，其余设备按新旧程度和实际技术状况分别列</t>
    </r>
    <r>
      <rPr>
        <sz val="11"/>
        <color theme="1"/>
        <rFont val="Arial"/>
        <charset val="134"/>
      </rPr>
      <t>II</t>
    </r>
    <r>
      <rPr>
        <sz val="11"/>
        <color theme="1"/>
        <rFont val="宋体"/>
        <charset val="134"/>
      </rPr>
      <t>、</t>
    </r>
    <r>
      <rPr>
        <sz val="11"/>
        <color theme="1"/>
        <rFont val="Arial"/>
        <charset val="134"/>
      </rPr>
      <t>III</t>
    </r>
    <r>
      <rPr>
        <sz val="11"/>
        <color theme="1"/>
        <rFont val="宋体"/>
        <charset val="134"/>
      </rPr>
      <t>、</t>
    </r>
    <r>
      <rPr>
        <sz val="11"/>
        <color theme="1"/>
        <rFont val="Arial"/>
        <charset val="134"/>
      </rPr>
      <t>IV</t>
    </r>
    <r>
      <rPr>
        <sz val="11"/>
        <color theme="1"/>
        <rFont val="宋体"/>
        <charset val="134"/>
      </rPr>
      <t>类</t>
    </r>
    <r>
      <rPr>
        <sz val="11"/>
        <color theme="1"/>
        <rFont val="Arial"/>
        <charset val="134"/>
      </rPr>
      <t xml:space="preserve">                           </t>
    </r>
  </si>
  <si>
    <r>
      <rPr>
        <sz val="11"/>
        <color theme="1"/>
        <rFont val="Arial"/>
        <charset val="134"/>
      </rPr>
      <t xml:space="preserve">  </t>
    </r>
    <r>
      <rPr>
        <sz val="11"/>
        <color theme="1"/>
        <rFont val="宋体"/>
        <charset val="134"/>
      </rPr>
      <t>明</t>
    </r>
    <r>
      <rPr>
        <sz val="11"/>
        <color theme="1"/>
        <rFont val="Arial"/>
        <charset val="134"/>
      </rPr>
      <t xml:space="preserve">  </t>
    </r>
  </si>
  <si>
    <r>
      <rPr>
        <sz val="11"/>
        <color theme="1"/>
        <rFont val="Arial"/>
        <charset val="134"/>
      </rPr>
      <t>2</t>
    </r>
    <r>
      <rPr>
        <sz val="11"/>
        <color theme="1"/>
        <rFont val="宋体"/>
        <charset val="134"/>
      </rPr>
      <t>．根据各类设备设定的成新率范围，按勘察结果、综合分析，分别取上限值、下限值或中值；</t>
    </r>
  </si>
  <si>
    <r>
      <rPr>
        <sz val="11"/>
        <color theme="1"/>
        <rFont val="Arial"/>
        <charset val="134"/>
      </rPr>
      <t>3.</t>
    </r>
    <r>
      <rPr>
        <sz val="11"/>
        <color rgb="FF0000FF"/>
        <rFont val="宋体"/>
        <charset val="134"/>
      </rPr>
      <t>成新率建议采用逢</t>
    </r>
    <r>
      <rPr>
        <sz val="11"/>
        <color rgb="FF0000FF"/>
        <rFont val="Arial"/>
        <charset val="134"/>
      </rPr>
      <t>5</t>
    </r>
    <r>
      <rPr>
        <sz val="11"/>
        <color rgb="FF0000FF"/>
        <rFont val="宋体"/>
        <charset val="134"/>
      </rPr>
      <t>递进，如：</t>
    </r>
    <r>
      <rPr>
        <sz val="11"/>
        <color rgb="FF0000FF"/>
        <rFont val="Arial"/>
        <charset val="134"/>
      </rPr>
      <t>65%</t>
    </r>
    <r>
      <rPr>
        <sz val="11"/>
        <color rgb="FF0000FF"/>
        <rFont val="宋体"/>
        <charset val="134"/>
      </rPr>
      <t>，</t>
    </r>
    <r>
      <rPr>
        <sz val="11"/>
        <color rgb="FF0000FF"/>
        <rFont val="Arial"/>
        <charset val="134"/>
      </rPr>
      <t>70%</t>
    </r>
    <r>
      <rPr>
        <sz val="11"/>
        <color rgb="FF0000FF"/>
        <rFont val="宋体"/>
        <charset val="134"/>
      </rPr>
      <t>，</t>
    </r>
    <r>
      <rPr>
        <sz val="11"/>
        <color rgb="FF0000FF"/>
        <rFont val="Arial"/>
        <charset val="134"/>
      </rPr>
      <t>75%</t>
    </r>
    <r>
      <rPr>
        <sz val="11"/>
        <color rgb="FF0000FF"/>
        <rFont val="宋体"/>
        <charset val="134"/>
      </rPr>
      <t>等。</t>
    </r>
    <r>
      <rPr>
        <sz val="11"/>
        <color theme="1"/>
        <rFont val="Arial"/>
        <charset val="134"/>
      </rPr>
      <t xml:space="preserve">                   </t>
    </r>
  </si>
  <si>
    <r>
      <rPr>
        <b/>
        <sz val="14"/>
        <color theme="1"/>
        <rFont val="宋体"/>
        <charset val="134"/>
      </rPr>
      <t>机器设备经济使用寿命参考表</t>
    </r>
    <r>
      <rPr>
        <b/>
        <sz val="14"/>
        <color theme="1"/>
        <rFont val="Arial"/>
        <charset val="134"/>
      </rPr>
      <t xml:space="preserve">                                                                               </t>
    </r>
  </si>
  <si>
    <r>
      <rPr>
        <sz val="11"/>
        <color theme="1"/>
        <rFont val="宋体"/>
        <charset val="134"/>
      </rPr>
      <t>表</t>
    </r>
    <r>
      <rPr>
        <sz val="11"/>
        <color theme="1"/>
        <rFont val="Arial"/>
        <charset val="134"/>
      </rPr>
      <t>1-2</t>
    </r>
  </si>
  <si>
    <r>
      <rPr>
        <sz val="11"/>
        <color theme="1"/>
        <rFont val="宋体"/>
        <charset val="134"/>
      </rPr>
      <t>单位：年</t>
    </r>
    <r>
      <rPr>
        <sz val="11"/>
        <color theme="1"/>
        <rFont val="Arial"/>
        <charset val="134"/>
      </rPr>
      <t xml:space="preserve">      </t>
    </r>
  </si>
  <si>
    <r>
      <rPr>
        <sz val="11"/>
        <color theme="1"/>
        <rFont val="宋体"/>
        <charset val="134"/>
      </rPr>
      <t>设</t>
    </r>
    <r>
      <rPr>
        <sz val="11"/>
        <color theme="1"/>
        <rFont val="Arial"/>
        <charset val="134"/>
      </rPr>
      <t xml:space="preserve">  </t>
    </r>
    <r>
      <rPr>
        <sz val="11"/>
        <color theme="1"/>
        <rFont val="宋体"/>
        <charset val="134"/>
      </rPr>
      <t>备</t>
    </r>
    <r>
      <rPr>
        <sz val="11"/>
        <color theme="1"/>
        <rFont val="Arial"/>
        <charset val="134"/>
      </rPr>
      <t xml:space="preserve">  </t>
    </r>
    <r>
      <rPr>
        <sz val="11"/>
        <color theme="1"/>
        <rFont val="宋体"/>
        <charset val="134"/>
      </rPr>
      <t>类</t>
    </r>
    <r>
      <rPr>
        <sz val="11"/>
        <color theme="1"/>
        <rFont val="Arial"/>
        <charset val="134"/>
      </rPr>
      <t xml:space="preserve">  </t>
    </r>
    <r>
      <rPr>
        <sz val="11"/>
        <color theme="1"/>
        <rFont val="宋体"/>
        <charset val="134"/>
      </rPr>
      <t>别</t>
    </r>
  </si>
  <si>
    <t>年限</t>
  </si>
  <si>
    <r>
      <rPr>
        <sz val="11"/>
        <color theme="1"/>
        <rFont val="宋体"/>
        <charset val="134"/>
      </rPr>
      <t>普通金属切削机床</t>
    </r>
    <r>
      <rPr>
        <sz val="11"/>
        <color theme="1"/>
        <rFont val="Arial"/>
        <charset val="134"/>
      </rPr>
      <t xml:space="preserve">        </t>
    </r>
  </si>
  <si>
    <t>15-20</t>
  </si>
  <si>
    <r>
      <rPr>
        <sz val="11"/>
        <color theme="1"/>
        <rFont val="宋体"/>
        <charset val="134"/>
      </rPr>
      <t>锻压机床</t>
    </r>
    <r>
      <rPr>
        <sz val="11"/>
        <color theme="1"/>
        <rFont val="Arial"/>
        <charset val="134"/>
      </rPr>
      <t xml:space="preserve">                </t>
    </r>
  </si>
  <si>
    <t>14-18</t>
  </si>
  <si>
    <r>
      <rPr>
        <sz val="11"/>
        <color theme="1"/>
        <rFont val="宋体"/>
        <charset val="134"/>
      </rPr>
      <t>起重设备</t>
    </r>
    <r>
      <rPr>
        <sz val="11"/>
        <color theme="1"/>
        <rFont val="Arial"/>
        <charset val="134"/>
      </rPr>
      <t xml:space="preserve">                </t>
    </r>
  </si>
  <si>
    <t>16-18</t>
  </si>
  <si>
    <r>
      <rPr>
        <sz val="11"/>
        <color theme="1"/>
        <rFont val="宋体"/>
        <charset val="134"/>
      </rPr>
      <t>铸造设备</t>
    </r>
    <r>
      <rPr>
        <sz val="11"/>
        <color theme="1"/>
        <rFont val="Arial"/>
        <charset val="134"/>
      </rPr>
      <t xml:space="preserve">                </t>
    </r>
  </si>
  <si>
    <t>12-16</t>
  </si>
  <si>
    <r>
      <rPr>
        <sz val="11"/>
        <color theme="1"/>
        <rFont val="宋体"/>
        <charset val="134"/>
      </rPr>
      <t>木工设备</t>
    </r>
    <r>
      <rPr>
        <sz val="11"/>
        <color theme="1"/>
        <rFont val="Arial"/>
        <charset val="134"/>
      </rPr>
      <t xml:space="preserve">                </t>
    </r>
  </si>
  <si>
    <r>
      <rPr>
        <sz val="11"/>
        <color theme="1"/>
        <rFont val="宋体"/>
        <charset val="134"/>
      </rPr>
      <t>传输设备</t>
    </r>
    <r>
      <rPr>
        <sz val="11"/>
        <color theme="1"/>
        <rFont val="Arial"/>
        <charset val="134"/>
      </rPr>
      <t xml:space="preserve">                </t>
    </r>
  </si>
  <si>
    <r>
      <rPr>
        <sz val="11"/>
        <color theme="1"/>
        <rFont val="宋体"/>
        <charset val="134"/>
      </rPr>
      <t>数控机床</t>
    </r>
    <r>
      <rPr>
        <sz val="11"/>
        <color theme="1"/>
        <rFont val="Arial"/>
        <charset val="134"/>
      </rPr>
      <t xml:space="preserve">                </t>
    </r>
  </si>
  <si>
    <t>12-18</t>
  </si>
  <si>
    <r>
      <rPr>
        <sz val="11"/>
        <color theme="1"/>
        <rFont val="宋体"/>
        <charset val="134"/>
      </rPr>
      <t>工业锅炉</t>
    </r>
    <r>
      <rPr>
        <sz val="11"/>
        <color theme="1"/>
        <rFont val="Arial"/>
        <charset val="134"/>
      </rPr>
      <t xml:space="preserve">                </t>
    </r>
  </si>
  <si>
    <t>16-20</t>
  </si>
  <si>
    <r>
      <rPr>
        <sz val="11"/>
        <color theme="1"/>
        <rFont val="宋体"/>
        <charset val="134"/>
      </rPr>
      <t>快装锅炉</t>
    </r>
    <r>
      <rPr>
        <sz val="11"/>
        <color theme="1"/>
        <rFont val="Arial"/>
        <charset val="134"/>
      </rPr>
      <t xml:space="preserve">                </t>
    </r>
  </si>
  <si>
    <t>15-18</t>
  </si>
  <si>
    <r>
      <rPr>
        <sz val="11"/>
        <color theme="1"/>
        <rFont val="宋体"/>
        <charset val="134"/>
      </rPr>
      <t>泵</t>
    </r>
    <r>
      <rPr>
        <sz val="11"/>
        <color theme="1"/>
        <rFont val="Arial"/>
        <charset val="134"/>
      </rPr>
      <t xml:space="preserve">                  </t>
    </r>
  </si>
  <si>
    <t>8- 12</t>
  </si>
  <si>
    <r>
      <rPr>
        <sz val="11"/>
        <color theme="1"/>
        <rFont val="宋体"/>
        <charset val="134"/>
      </rPr>
      <t>风机</t>
    </r>
    <r>
      <rPr>
        <sz val="11"/>
        <color theme="1"/>
        <rFont val="Arial"/>
        <charset val="134"/>
      </rPr>
      <t xml:space="preserve">                </t>
    </r>
  </si>
  <si>
    <t>10- 14</t>
  </si>
  <si>
    <r>
      <rPr>
        <sz val="11"/>
        <color theme="1"/>
        <rFont val="宋体"/>
        <charset val="134"/>
      </rPr>
      <t>内燃机发电机组</t>
    </r>
    <r>
      <rPr>
        <sz val="11"/>
        <color theme="1"/>
        <rFont val="Arial"/>
        <charset val="134"/>
      </rPr>
      <t xml:space="preserve">      </t>
    </r>
  </si>
  <si>
    <t>15- 20</t>
  </si>
  <si>
    <r>
      <rPr>
        <sz val="11"/>
        <color theme="1"/>
        <rFont val="宋体"/>
        <charset val="134"/>
      </rPr>
      <t>空气压缩机组</t>
    </r>
    <r>
      <rPr>
        <sz val="11"/>
        <color theme="1"/>
        <rFont val="Arial"/>
        <charset val="134"/>
      </rPr>
      <t xml:space="preserve">        </t>
    </r>
  </si>
  <si>
    <t>16- 20</t>
  </si>
  <si>
    <r>
      <rPr>
        <sz val="11"/>
        <color theme="1"/>
        <rFont val="宋体"/>
        <charset val="134"/>
      </rPr>
      <t>变配电设备</t>
    </r>
    <r>
      <rPr>
        <sz val="11"/>
        <color theme="1"/>
        <rFont val="Arial"/>
        <charset val="134"/>
      </rPr>
      <t xml:space="preserve">          </t>
    </r>
  </si>
  <si>
    <r>
      <rPr>
        <sz val="11"/>
        <color theme="1"/>
        <rFont val="宋体"/>
        <charset val="134"/>
      </rPr>
      <t>焊接设备</t>
    </r>
    <r>
      <rPr>
        <sz val="11"/>
        <color theme="1"/>
        <rFont val="Arial"/>
        <charset val="134"/>
      </rPr>
      <t xml:space="preserve">            </t>
    </r>
  </si>
  <si>
    <t>12- 16</t>
  </si>
  <si>
    <r>
      <rPr>
        <sz val="11"/>
        <color theme="1"/>
        <rFont val="宋体"/>
        <charset val="134"/>
      </rPr>
      <t>切割设备</t>
    </r>
    <r>
      <rPr>
        <sz val="11"/>
        <color theme="1"/>
        <rFont val="Arial"/>
        <charset val="134"/>
      </rPr>
      <t xml:space="preserve">            </t>
    </r>
  </si>
  <si>
    <t>12- 18</t>
  </si>
  <si>
    <r>
      <rPr>
        <sz val="11"/>
        <color theme="1"/>
        <rFont val="宋体"/>
        <charset val="134"/>
      </rPr>
      <t>集中空调设备</t>
    </r>
    <r>
      <rPr>
        <sz val="11"/>
        <color theme="1"/>
        <rFont val="Arial"/>
        <charset val="134"/>
      </rPr>
      <t xml:space="preserve">        </t>
    </r>
  </si>
  <si>
    <t>14- 18</t>
  </si>
  <si>
    <r>
      <rPr>
        <sz val="11"/>
        <color theme="1"/>
        <rFont val="宋体"/>
        <charset val="134"/>
      </rPr>
      <t>空调机</t>
    </r>
    <r>
      <rPr>
        <sz val="11"/>
        <color theme="1"/>
        <rFont val="Arial"/>
        <charset val="134"/>
      </rPr>
      <t xml:space="preserve">              </t>
    </r>
  </si>
  <si>
    <t>6- 8</t>
  </si>
  <si>
    <r>
      <rPr>
        <sz val="11"/>
        <color theme="1"/>
        <rFont val="宋体"/>
        <charset val="134"/>
      </rPr>
      <t>家用电器</t>
    </r>
    <r>
      <rPr>
        <sz val="11"/>
        <color theme="1"/>
        <rFont val="Arial"/>
        <charset val="134"/>
      </rPr>
      <t xml:space="preserve">            </t>
    </r>
  </si>
  <si>
    <t>7- 10</t>
  </si>
  <si>
    <r>
      <rPr>
        <sz val="11"/>
        <color theme="1"/>
        <rFont val="宋体"/>
        <charset val="134"/>
      </rPr>
      <t>办公用设备</t>
    </r>
    <r>
      <rPr>
        <sz val="11"/>
        <color theme="1"/>
        <rFont val="Arial"/>
        <charset val="134"/>
      </rPr>
      <t xml:space="preserve">          </t>
    </r>
  </si>
  <si>
    <t>4- 8</t>
  </si>
  <si>
    <r>
      <rPr>
        <sz val="11"/>
        <color theme="1"/>
        <rFont val="宋体"/>
        <charset val="134"/>
      </rPr>
      <t>电脑</t>
    </r>
    <r>
      <rPr>
        <sz val="11"/>
        <color theme="1"/>
        <rFont val="Arial"/>
        <charset val="134"/>
      </rPr>
      <t xml:space="preserve">                </t>
    </r>
  </si>
  <si>
    <t>4- 6</t>
  </si>
  <si>
    <r>
      <rPr>
        <sz val="11"/>
        <color theme="1"/>
        <rFont val="宋体"/>
        <charset val="134"/>
      </rPr>
      <t>电信设备</t>
    </r>
    <r>
      <rPr>
        <sz val="11"/>
        <color theme="1"/>
        <rFont val="Arial"/>
        <charset val="134"/>
      </rPr>
      <t xml:space="preserve">            </t>
    </r>
  </si>
  <si>
    <t>6- 15</t>
  </si>
  <si>
    <r>
      <rPr>
        <sz val="11"/>
        <color theme="1"/>
        <rFont val="宋体"/>
        <charset val="134"/>
      </rPr>
      <t>自动化控制设备</t>
    </r>
    <r>
      <rPr>
        <sz val="11"/>
        <color theme="1"/>
        <rFont val="Arial"/>
        <charset val="134"/>
      </rPr>
      <t xml:space="preserve">      </t>
    </r>
  </si>
  <si>
    <t>8- 16</t>
  </si>
  <si>
    <r>
      <rPr>
        <sz val="11"/>
        <color theme="1"/>
        <rFont val="宋体"/>
        <charset val="134"/>
      </rPr>
      <t>检测仪器、设备</t>
    </r>
    <r>
      <rPr>
        <sz val="11"/>
        <color theme="1"/>
        <rFont val="Arial"/>
        <charset val="134"/>
      </rPr>
      <t xml:space="preserve">      </t>
    </r>
  </si>
  <si>
    <t>10- 16</t>
  </si>
  <si>
    <r>
      <rPr>
        <sz val="11"/>
        <color theme="1"/>
        <rFont val="宋体"/>
        <charset val="134"/>
      </rPr>
      <t>数学设备、工具</t>
    </r>
    <r>
      <rPr>
        <sz val="11"/>
        <color theme="1"/>
        <rFont val="Arial"/>
        <charset val="134"/>
      </rPr>
      <t xml:space="preserve">      </t>
    </r>
  </si>
  <si>
    <t>卫生、医疗设备、工具</t>
  </si>
  <si>
    <r>
      <rPr>
        <sz val="11"/>
        <color theme="1"/>
        <rFont val="宋体"/>
        <charset val="134"/>
      </rPr>
      <t>炊事设备</t>
    </r>
    <r>
      <rPr>
        <sz val="11"/>
        <color theme="1"/>
        <rFont val="Arial"/>
        <charset val="134"/>
      </rPr>
      <t xml:space="preserve">            </t>
    </r>
  </si>
  <si>
    <r>
      <rPr>
        <sz val="11"/>
        <color theme="1"/>
        <rFont val="宋体"/>
        <charset val="134"/>
      </rPr>
      <t>矿山用汽车</t>
    </r>
    <r>
      <rPr>
        <sz val="11"/>
        <color theme="1"/>
        <rFont val="Arial"/>
        <charset val="134"/>
      </rPr>
      <t xml:space="preserve">                          </t>
    </r>
  </si>
  <si>
    <t>6-8</t>
  </si>
  <si>
    <r>
      <rPr>
        <sz val="11"/>
        <color theme="1"/>
        <rFont val="宋体"/>
        <charset val="134"/>
      </rPr>
      <t>汽车起重机、叉车</t>
    </r>
    <r>
      <rPr>
        <sz val="11"/>
        <color theme="1"/>
        <rFont val="Arial"/>
        <charset val="134"/>
      </rPr>
      <t xml:space="preserve">                    </t>
    </r>
  </si>
  <si>
    <t>10-14</t>
  </si>
  <si>
    <r>
      <rPr>
        <sz val="11"/>
        <color theme="1"/>
        <rFont val="宋体"/>
        <charset val="134"/>
      </rPr>
      <t>专用汽车</t>
    </r>
    <r>
      <rPr>
        <sz val="11"/>
        <color theme="1"/>
        <rFont val="Arial"/>
        <charset val="134"/>
      </rPr>
      <t xml:space="preserve">                            </t>
    </r>
  </si>
  <si>
    <t>10-15</t>
  </si>
  <si>
    <r>
      <rPr>
        <sz val="11"/>
        <color theme="1"/>
        <rFont val="宋体"/>
        <charset val="134"/>
      </rPr>
      <t>平车、电瓶车、小机动自卸车</t>
    </r>
    <r>
      <rPr>
        <sz val="11"/>
        <color theme="1"/>
        <rFont val="Arial"/>
        <charset val="134"/>
      </rPr>
      <t xml:space="preserve">          </t>
    </r>
  </si>
  <si>
    <r>
      <rPr>
        <sz val="11"/>
        <color theme="1"/>
        <rFont val="宋体"/>
        <charset val="134"/>
      </rPr>
      <t>工业炉窑</t>
    </r>
    <r>
      <rPr>
        <sz val="11"/>
        <color theme="1"/>
        <rFont val="Arial"/>
        <charset val="134"/>
      </rPr>
      <t xml:space="preserve">                            </t>
    </r>
  </si>
  <si>
    <r>
      <rPr>
        <sz val="11"/>
        <color theme="1"/>
        <rFont val="宋体"/>
        <charset val="134"/>
      </rPr>
      <t>熔炼炉</t>
    </r>
    <r>
      <rPr>
        <sz val="11"/>
        <color theme="1"/>
        <rFont val="Arial"/>
        <charset val="134"/>
      </rPr>
      <t xml:space="preserve">                              </t>
    </r>
  </si>
  <si>
    <t>10-13</t>
  </si>
  <si>
    <r>
      <rPr>
        <sz val="11"/>
        <color theme="1"/>
        <rFont val="宋体"/>
        <charset val="134"/>
      </rPr>
      <t>冶炼电炉</t>
    </r>
    <r>
      <rPr>
        <sz val="11"/>
        <color theme="1"/>
        <rFont val="Arial"/>
        <charset val="134"/>
      </rPr>
      <t xml:space="preserve">                            </t>
    </r>
  </si>
  <si>
    <r>
      <rPr>
        <sz val="11"/>
        <color theme="1"/>
        <rFont val="宋体"/>
        <charset val="134"/>
      </rPr>
      <t>热处理炉窑</t>
    </r>
    <r>
      <rPr>
        <sz val="11"/>
        <color theme="1"/>
        <rFont val="Arial"/>
        <charset val="134"/>
      </rPr>
      <t xml:space="preserve">            </t>
    </r>
  </si>
  <si>
    <r>
      <rPr>
        <sz val="11"/>
        <color theme="1"/>
        <rFont val="宋体"/>
        <charset val="134"/>
      </rPr>
      <t>加热、干燥炉、箱</t>
    </r>
    <r>
      <rPr>
        <sz val="11"/>
        <color theme="1"/>
        <rFont val="Arial"/>
        <charset val="134"/>
      </rPr>
      <t xml:space="preserve">      </t>
    </r>
  </si>
  <si>
    <r>
      <rPr>
        <sz val="11"/>
        <color theme="1"/>
        <rFont val="宋体"/>
        <charset val="134"/>
      </rPr>
      <t>热轧机</t>
    </r>
    <r>
      <rPr>
        <sz val="11"/>
        <color theme="1"/>
        <rFont val="Arial"/>
        <charset val="134"/>
      </rPr>
      <t xml:space="preserve">                </t>
    </r>
  </si>
  <si>
    <r>
      <rPr>
        <sz val="11"/>
        <color theme="1"/>
        <rFont val="宋体"/>
        <charset val="134"/>
      </rPr>
      <t>冷轧机</t>
    </r>
    <r>
      <rPr>
        <sz val="11"/>
        <color theme="1"/>
        <rFont val="Arial"/>
        <charset val="134"/>
      </rPr>
      <t xml:space="preserve">                </t>
    </r>
  </si>
  <si>
    <r>
      <rPr>
        <sz val="11"/>
        <color theme="1"/>
        <rFont val="宋体"/>
        <charset val="134"/>
      </rPr>
      <t>冶金工业专用设备</t>
    </r>
    <r>
      <rPr>
        <sz val="11"/>
        <color theme="1"/>
        <rFont val="Arial"/>
        <charset val="134"/>
      </rPr>
      <t xml:space="preserve">      </t>
    </r>
  </si>
  <si>
    <t>12- 20</t>
  </si>
  <si>
    <r>
      <rPr>
        <sz val="11"/>
        <color theme="1"/>
        <rFont val="宋体"/>
        <charset val="134"/>
      </rPr>
      <t>注塑机</t>
    </r>
    <r>
      <rPr>
        <sz val="11"/>
        <color theme="1"/>
        <rFont val="Arial"/>
        <charset val="134"/>
      </rPr>
      <t xml:space="preserve">                </t>
    </r>
  </si>
  <si>
    <r>
      <rPr>
        <sz val="11"/>
        <color theme="1"/>
        <rFont val="宋体"/>
        <charset val="134"/>
      </rPr>
      <t>破碎机</t>
    </r>
    <r>
      <rPr>
        <sz val="11"/>
        <color theme="1"/>
        <rFont val="Arial"/>
        <charset val="134"/>
      </rPr>
      <t xml:space="preserve">                </t>
    </r>
  </si>
  <si>
    <t>I0- 15</t>
  </si>
  <si>
    <r>
      <rPr>
        <sz val="11"/>
        <color theme="1"/>
        <rFont val="宋体"/>
        <charset val="134"/>
      </rPr>
      <t>矿山工业专用机械</t>
    </r>
    <r>
      <rPr>
        <sz val="11"/>
        <color theme="1"/>
        <rFont val="Arial"/>
        <charset val="134"/>
      </rPr>
      <t xml:space="preserve">      </t>
    </r>
  </si>
  <si>
    <t>工程机械、建筑施工设备</t>
  </si>
  <si>
    <r>
      <rPr>
        <sz val="11"/>
        <color theme="1"/>
        <rFont val="宋体"/>
        <charset val="134"/>
      </rPr>
      <t>化工工业专用设备</t>
    </r>
    <r>
      <rPr>
        <sz val="11"/>
        <color theme="1"/>
        <rFont val="Arial"/>
        <charset val="134"/>
      </rPr>
      <t xml:space="preserve">      </t>
    </r>
  </si>
  <si>
    <r>
      <rPr>
        <sz val="11"/>
        <color theme="1"/>
        <rFont val="宋体"/>
        <charset val="134"/>
      </rPr>
      <t>电镀、电解设备</t>
    </r>
    <r>
      <rPr>
        <sz val="11"/>
        <color theme="1"/>
        <rFont val="Arial"/>
        <charset val="134"/>
      </rPr>
      <t xml:space="preserve">        </t>
    </r>
  </si>
  <si>
    <t>10- 15</t>
  </si>
  <si>
    <r>
      <rPr>
        <sz val="11"/>
        <color theme="1"/>
        <rFont val="宋体"/>
        <charset val="134"/>
      </rPr>
      <t>印刷机械</t>
    </r>
    <r>
      <rPr>
        <sz val="11"/>
        <color theme="1"/>
        <rFont val="Arial"/>
        <charset val="134"/>
      </rPr>
      <t xml:space="preserve">              </t>
    </r>
  </si>
  <si>
    <r>
      <rPr>
        <sz val="11"/>
        <color theme="1"/>
        <rFont val="宋体"/>
        <charset val="134"/>
      </rPr>
      <t>纺织机械</t>
    </r>
    <r>
      <rPr>
        <sz val="11"/>
        <color theme="1"/>
        <rFont val="Arial"/>
        <charset val="134"/>
      </rPr>
      <t xml:space="preserve">              </t>
    </r>
  </si>
  <si>
    <r>
      <rPr>
        <sz val="11"/>
        <color theme="1"/>
        <rFont val="宋体"/>
        <charset val="134"/>
      </rPr>
      <t>电力工业发电设备</t>
    </r>
    <r>
      <rPr>
        <sz val="11"/>
        <color theme="1"/>
        <rFont val="Arial"/>
        <charset val="134"/>
      </rPr>
      <t xml:space="preserve">      </t>
    </r>
  </si>
  <si>
    <t>20- 30</t>
  </si>
  <si>
    <r>
      <rPr>
        <sz val="11"/>
        <color theme="1"/>
        <rFont val="宋体"/>
        <charset val="134"/>
      </rPr>
      <t>水泥生产设备</t>
    </r>
    <r>
      <rPr>
        <sz val="11"/>
        <color theme="1"/>
        <rFont val="Arial"/>
        <charset val="134"/>
      </rPr>
      <t xml:space="preserve">          </t>
    </r>
  </si>
  <si>
    <r>
      <rPr>
        <sz val="11"/>
        <color theme="1"/>
        <rFont val="宋体"/>
        <charset val="134"/>
      </rPr>
      <t>机械工业其它专用设备</t>
    </r>
    <r>
      <rPr>
        <sz val="11"/>
        <color theme="1"/>
        <rFont val="Arial"/>
        <charset val="134"/>
      </rPr>
      <t xml:space="preserve">  </t>
    </r>
  </si>
  <si>
    <r>
      <rPr>
        <sz val="11"/>
        <color theme="1"/>
        <rFont val="宋体"/>
        <charset val="134"/>
      </rPr>
      <t>液体储罐</t>
    </r>
    <r>
      <rPr>
        <sz val="11"/>
        <color theme="1"/>
        <rFont val="Arial"/>
        <charset val="134"/>
      </rPr>
      <t xml:space="preserve">              </t>
    </r>
  </si>
  <si>
    <t>20- 25</t>
  </si>
  <si>
    <t>机器设备经济寿命年限参考（机电报价手册版）</t>
  </si>
  <si>
    <r>
      <rPr>
        <sz val="10"/>
        <color theme="1"/>
        <rFont val="宋体"/>
        <charset val="134"/>
      </rPr>
      <t>序号</t>
    </r>
  </si>
  <si>
    <r>
      <rPr>
        <sz val="10"/>
        <color theme="1"/>
        <rFont val="宋体"/>
        <charset val="134"/>
      </rPr>
      <t>设备类别</t>
    </r>
  </si>
  <si>
    <r>
      <rPr>
        <sz val="10"/>
        <color theme="1"/>
        <rFont val="宋体"/>
        <charset val="134"/>
      </rPr>
      <t>寿命年限</t>
    </r>
  </si>
  <si>
    <r>
      <rPr>
        <b/>
        <sz val="10"/>
        <color theme="1"/>
        <rFont val="宋体"/>
        <charset val="134"/>
      </rPr>
      <t>一</t>
    </r>
  </si>
  <si>
    <r>
      <rPr>
        <b/>
        <sz val="10"/>
        <color theme="1"/>
        <rFont val="宋体"/>
        <charset val="134"/>
      </rPr>
      <t>通用机械设备</t>
    </r>
  </si>
  <si>
    <r>
      <rPr>
        <b/>
        <sz val="10"/>
        <color theme="1"/>
        <rFont val="宋体"/>
        <charset val="134"/>
      </rPr>
      <t>（五）</t>
    </r>
  </si>
  <si>
    <r>
      <rPr>
        <b/>
        <sz val="10"/>
        <color theme="1"/>
        <rFont val="宋体"/>
        <charset val="134"/>
      </rPr>
      <t>运输设备</t>
    </r>
  </si>
  <si>
    <r>
      <rPr>
        <b/>
        <sz val="10"/>
        <color theme="1"/>
        <rFont val="宋体"/>
        <charset val="134"/>
      </rPr>
      <t>（一）</t>
    </r>
  </si>
  <si>
    <r>
      <rPr>
        <b/>
        <sz val="10"/>
        <color theme="1"/>
        <rFont val="宋体"/>
        <charset val="134"/>
      </rPr>
      <t>金属加工设备</t>
    </r>
  </si>
  <si>
    <r>
      <rPr>
        <sz val="10"/>
        <color theme="1"/>
        <rFont val="Times New Roman"/>
        <charset val="134"/>
      </rPr>
      <t xml:space="preserve">   </t>
    </r>
    <r>
      <rPr>
        <sz val="10"/>
        <color theme="1"/>
        <rFont val="宋体"/>
        <charset val="134"/>
      </rPr>
      <t>重中载货汽车</t>
    </r>
    <r>
      <rPr>
        <sz val="10"/>
        <color theme="1"/>
        <rFont val="Times New Roman"/>
        <charset val="134"/>
      </rPr>
      <t>(</t>
    </r>
    <r>
      <rPr>
        <sz val="10"/>
        <color theme="1"/>
        <rFont val="宋体"/>
        <charset val="134"/>
      </rPr>
      <t>含越野型</t>
    </r>
    <r>
      <rPr>
        <sz val="10"/>
        <color theme="1"/>
        <rFont val="Times New Roman"/>
        <charset val="134"/>
      </rPr>
      <t>)40</t>
    </r>
    <r>
      <rPr>
        <sz val="10"/>
        <color theme="1"/>
        <rFont val="宋体"/>
        <charset val="134"/>
      </rPr>
      <t>万公里</t>
    </r>
  </si>
  <si>
    <r>
      <rPr>
        <sz val="10"/>
        <color theme="1"/>
        <rFont val="Times New Roman"/>
        <charset val="134"/>
      </rPr>
      <t>8</t>
    </r>
    <r>
      <rPr>
        <sz val="10"/>
        <color theme="1"/>
        <rFont val="宋体"/>
        <charset val="134"/>
      </rPr>
      <t>～</t>
    </r>
    <r>
      <rPr>
        <sz val="10"/>
        <color theme="1"/>
        <rFont val="Times New Roman"/>
        <charset val="134"/>
      </rPr>
      <t>10</t>
    </r>
  </si>
  <si>
    <r>
      <rPr>
        <sz val="10"/>
        <color theme="1"/>
        <rFont val="Times New Roman"/>
        <charset val="134"/>
      </rPr>
      <t xml:space="preserve">   </t>
    </r>
    <r>
      <rPr>
        <sz val="10"/>
        <color theme="1"/>
        <rFont val="宋体"/>
        <charset val="134"/>
      </rPr>
      <t>普通金属切削机床</t>
    </r>
  </si>
  <si>
    <r>
      <rPr>
        <sz val="10"/>
        <color theme="1"/>
        <rFont val="Times New Roman"/>
        <charset val="134"/>
      </rPr>
      <t>15</t>
    </r>
    <r>
      <rPr>
        <sz val="10"/>
        <color theme="1"/>
        <rFont val="宋体"/>
        <charset val="134"/>
      </rPr>
      <t>～</t>
    </r>
    <r>
      <rPr>
        <sz val="10"/>
        <color theme="1"/>
        <rFont val="Times New Roman"/>
        <charset val="134"/>
      </rPr>
      <t>20</t>
    </r>
  </si>
  <si>
    <r>
      <rPr>
        <sz val="10"/>
        <color theme="1"/>
        <rFont val="Times New Roman"/>
        <charset val="134"/>
      </rPr>
      <t xml:space="preserve">   </t>
    </r>
    <r>
      <rPr>
        <sz val="10"/>
        <color theme="1"/>
        <rFont val="宋体"/>
        <charset val="134"/>
      </rPr>
      <t>载客汽车</t>
    </r>
    <r>
      <rPr>
        <sz val="10"/>
        <color theme="1"/>
        <rFont val="Times New Roman"/>
        <charset val="134"/>
      </rPr>
      <t>50</t>
    </r>
    <r>
      <rPr>
        <sz val="10"/>
        <color theme="1"/>
        <rFont val="宋体"/>
        <charset val="134"/>
      </rPr>
      <t>万公里</t>
    </r>
  </si>
  <si>
    <r>
      <rPr>
        <sz val="10"/>
        <color theme="1"/>
        <rFont val="Times New Roman"/>
        <charset val="134"/>
      </rPr>
      <t xml:space="preserve">   </t>
    </r>
    <r>
      <rPr>
        <sz val="10"/>
        <color theme="1"/>
        <rFont val="宋体"/>
        <charset val="134"/>
      </rPr>
      <t>数控机床、加工中心</t>
    </r>
  </si>
  <si>
    <r>
      <rPr>
        <sz val="10"/>
        <color theme="1"/>
        <rFont val="Times New Roman"/>
        <charset val="134"/>
      </rPr>
      <t>12</t>
    </r>
    <r>
      <rPr>
        <sz val="10"/>
        <color theme="1"/>
        <rFont val="宋体"/>
        <charset val="134"/>
      </rPr>
      <t>～</t>
    </r>
    <r>
      <rPr>
        <sz val="10"/>
        <color theme="1"/>
        <rFont val="Times New Roman"/>
        <charset val="134"/>
      </rPr>
      <t>18</t>
    </r>
  </si>
  <si>
    <r>
      <rPr>
        <sz val="10"/>
        <color theme="1"/>
        <rFont val="Times New Roman"/>
        <charset val="134"/>
      </rPr>
      <t xml:space="preserve">   </t>
    </r>
    <r>
      <rPr>
        <sz val="10"/>
        <color theme="1"/>
        <rFont val="宋体"/>
        <charset val="134"/>
      </rPr>
      <t>矿山用汽车</t>
    </r>
    <r>
      <rPr>
        <sz val="10"/>
        <color theme="1"/>
        <rFont val="Times New Roman"/>
        <charset val="134"/>
      </rPr>
      <t>30</t>
    </r>
    <r>
      <rPr>
        <sz val="10"/>
        <color theme="1"/>
        <rFont val="宋体"/>
        <charset val="134"/>
      </rPr>
      <t>万公里</t>
    </r>
  </si>
  <si>
    <r>
      <rPr>
        <sz val="10"/>
        <color theme="1"/>
        <rFont val="Times New Roman"/>
        <charset val="134"/>
      </rPr>
      <t>6</t>
    </r>
    <r>
      <rPr>
        <sz val="10"/>
        <color theme="1"/>
        <rFont val="宋体"/>
        <charset val="134"/>
      </rPr>
      <t>～</t>
    </r>
    <r>
      <rPr>
        <sz val="10"/>
        <color theme="1"/>
        <rFont val="Times New Roman"/>
        <charset val="134"/>
      </rPr>
      <t>8</t>
    </r>
  </si>
  <si>
    <r>
      <rPr>
        <sz val="10"/>
        <color theme="1"/>
        <rFont val="Times New Roman"/>
        <charset val="134"/>
      </rPr>
      <t xml:space="preserve">   </t>
    </r>
    <r>
      <rPr>
        <sz val="10"/>
        <color theme="1"/>
        <rFont val="宋体"/>
        <charset val="134"/>
      </rPr>
      <t>起重设备</t>
    </r>
  </si>
  <si>
    <r>
      <rPr>
        <sz val="10"/>
        <color theme="1"/>
        <rFont val="Times New Roman"/>
        <charset val="134"/>
      </rPr>
      <t>16</t>
    </r>
    <r>
      <rPr>
        <sz val="10"/>
        <color theme="1"/>
        <rFont val="宋体"/>
        <charset val="134"/>
      </rPr>
      <t>～</t>
    </r>
    <r>
      <rPr>
        <sz val="10"/>
        <color theme="1"/>
        <rFont val="Times New Roman"/>
        <charset val="134"/>
      </rPr>
      <t>18</t>
    </r>
  </si>
  <si>
    <r>
      <rPr>
        <sz val="10"/>
        <color theme="1"/>
        <rFont val="Times New Roman"/>
        <charset val="134"/>
      </rPr>
      <t xml:space="preserve">   </t>
    </r>
    <r>
      <rPr>
        <sz val="10"/>
        <color theme="1"/>
        <rFont val="宋体"/>
        <charset val="134"/>
      </rPr>
      <t>汽车起重机、叉车</t>
    </r>
  </si>
  <si>
    <r>
      <rPr>
        <sz val="10"/>
        <color theme="1"/>
        <rFont val="Times New Roman"/>
        <charset val="134"/>
      </rPr>
      <t>10</t>
    </r>
    <r>
      <rPr>
        <sz val="10"/>
        <color theme="1"/>
        <rFont val="宋体"/>
        <charset val="134"/>
      </rPr>
      <t>～</t>
    </r>
    <r>
      <rPr>
        <sz val="10"/>
        <color theme="1"/>
        <rFont val="Times New Roman"/>
        <charset val="134"/>
      </rPr>
      <t>14</t>
    </r>
  </si>
  <si>
    <r>
      <rPr>
        <sz val="10"/>
        <color theme="1"/>
        <rFont val="Times New Roman"/>
        <charset val="134"/>
      </rPr>
      <t xml:space="preserve">   </t>
    </r>
    <r>
      <rPr>
        <sz val="10"/>
        <color theme="1"/>
        <rFont val="宋体"/>
        <charset val="134"/>
      </rPr>
      <t>铸造设备</t>
    </r>
  </si>
  <si>
    <r>
      <rPr>
        <sz val="10"/>
        <color theme="1"/>
        <rFont val="Times New Roman"/>
        <charset val="134"/>
      </rPr>
      <t>12</t>
    </r>
    <r>
      <rPr>
        <sz val="10"/>
        <color theme="1"/>
        <rFont val="宋体"/>
        <charset val="134"/>
      </rPr>
      <t>～</t>
    </r>
    <r>
      <rPr>
        <sz val="10"/>
        <color theme="1"/>
        <rFont val="Times New Roman"/>
        <charset val="134"/>
      </rPr>
      <t>16</t>
    </r>
  </si>
  <si>
    <r>
      <rPr>
        <sz val="10"/>
        <color theme="1"/>
        <rFont val="Times New Roman"/>
        <charset val="134"/>
      </rPr>
      <t xml:space="preserve">   </t>
    </r>
    <r>
      <rPr>
        <sz val="10"/>
        <color theme="1"/>
        <rFont val="宋体"/>
        <charset val="134"/>
      </rPr>
      <t>专用汽车</t>
    </r>
    <r>
      <rPr>
        <sz val="10"/>
        <color theme="1"/>
        <rFont val="Times New Roman"/>
        <charset val="134"/>
      </rPr>
      <t>40</t>
    </r>
    <r>
      <rPr>
        <sz val="10"/>
        <color theme="1"/>
        <rFont val="宋体"/>
        <charset val="134"/>
      </rPr>
      <t>万公里</t>
    </r>
  </si>
  <si>
    <r>
      <rPr>
        <sz val="10"/>
        <color theme="1"/>
        <rFont val="Times New Roman"/>
        <charset val="134"/>
      </rPr>
      <t>10</t>
    </r>
    <r>
      <rPr>
        <sz val="10"/>
        <color theme="1"/>
        <rFont val="宋体"/>
        <charset val="134"/>
      </rPr>
      <t>～</t>
    </r>
    <r>
      <rPr>
        <sz val="10"/>
        <color theme="1"/>
        <rFont val="Times New Roman"/>
        <charset val="134"/>
      </rPr>
      <t>13</t>
    </r>
  </si>
  <si>
    <r>
      <rPr>
        <sz val="10"/>
        <color theme="1"/>
        <rFont val="Times New Roman"/>
        <charset val="134"/>
      </rPr>
      <t xml:space="preserve">   </t>
    </r>
    <r>
      <rPr>
        <sz val="10"/>
        <color theme="1"/>
        <rFont val="宋体"/>
        <charset val="134"/>
      </rPr>
      <t>锻压设备</t>
    </r>
  </si>
  <si>
    <r>
      <rPr>
        <sz val="10"/>
        <color theme="1"/>
        <rFont val="Times New Roman"/>
        <charset val="134"/>
      </rPr>
      <t>14</t>
    </r>
    <r>
      <rPr>
        <sz val="10"/>
        <color theme="1"/>
        <rFont val="宋体"/>
        <charset val="134"/>
      </rPr>
      <t>～</t>
    </r>
    <r>
      <rPr>
        <sz val="10"/>
        <color theme="1"/>
        <rFont val="Times New Roman"/>
        <charset val="134"/>
      </rPr>
      <t>18</t>
    </r>
  </si>
  <si>
    <r>
      <rPr>
        <sz val="10"/>
        <color theme="1"/>
        <rFont val="Times New Roman"/>
        <charset val="134"/>
      </rPr>
      <t xml:space="preserve">   </t>
    </r>
    <r>
      <rPr>
        <sz val="10"/>
        <color theme="1"/>
        <rFont val="宋体"/>
        <charset val="134"/>
      </rPr>
      <t>平车、电瓶车、小机动自卸车</t>
    </r>
  </si>
  <si>
    <r>
      <rPr>
        <sz val="10"/>
        <color theme="1"/>
        <rFont val="Times New Roman"/>
        <charset val="134"/>
      </rPr>
      <t>12</t>
    </r>
    <r>
      <rPr>
        <sz val="10"/>
        <color theme="1"/>
        <rFont val="宋体"/>
        <charset val="134"/>
      </rPr>
      <t>～</t>
    </r>
    <r>
      <rPr>
        <sz val="10"/>
        <color theme="1"/>
        <rFont val="Times New Roman"/>
        <charset val="134"/>
      </rPr>
      <t>14</t>
    </r>
  </si>
  <si>
    <r>
      <rPr>
        <sz val="10"/>
        <color theme="1"/>
        <rFont val="Times New Roman"/>
        <charset val="134"/>
      </rPr>
      <t xml:space="preserve">     </t>
    </r>
    <r>
      <rPr>
        <sz val="10"/>
        <color theme="1"/>
        <rFont val="宋体"/>
        <charset val="134"/>
      </rPr>
      <t>其中：锻锤设备</t>
    </r>
  </si>
  <si>
    <r>
      <rPr>
        <sz val="10"/>
        <color theme="1"/>
        <rFont val="Times New Roman"/>
        <charset val="134"/>
      </rPr>
      <t xml:space="preserve">   </t>
    </r>
    <r>
      <rPr>
        <sz val="10"/>
        <color theme="1"/>
        <rFont val="宋体"/>
        <charset val="134"/>
      </rPr>
      <t>摩托车</t>
    </r>
  </si>
  <si>
    <r>
      <rPr>
        <sz val="10"/>
        <color theme="1"/>
        <rFont val="Times New Roman"/>
        <charset val="134"/>
      </rPr>
      <t xml:space="preserve">   </t>
    </r>
    <r>
      <rPr>
        <sz val="10"/>
        <color theme="1"/>
        <rFont val="宋体"/>
        <charset val="134"/>
      </rPr>
      <t>机械工业其他专用设备</t>
    </r>
  </si>
  <si>
    <r>
      <rPr>
        <sz val="10"/>
        <color theme="1"/>
        <rFont val="Times New Roman"/>
        <charset val="134"/>
      </rPr>
      <t xml:space="preserve">   </t>
    </r>
    <r>
      <rPr>
        <sz val="10"/>
        <color theme="1"/>
        <rFont val="宋体"/>
        <charset val="134"/>
      </rPr>
      <t>轻微型载货车（含越野型）</t>
    </r>
    <r>
      <rPr>
        <sz val="10"/>
        <color theme="1"/>
        <rFont val="Times New Roman"/>
        <charset val="134"/>
      </rPr>
      <t>30</t>
    </r>
    <r>
      <rPr>
        <sz val="10"/>
        <color theme="1"/>
        <rFont val="宋体"/>
        <charset val="134"/>
      </rPr>
      <t>万公里</t>
    </r>
  </si>
  <si>
    <r>
      <rPr>
        <b/>
        <sz val="10"/>
        <color theme="1"/>
        <rFont val="宋体"/>
        <charset val="134"/>
      </rPr>
      <t>（二）</t>
    </r>
  </si>
  <si>
    <r>
      <rPr>
        <b/>
        <sz val="10"/>
        <color theme="1"/>
        <rFont val="宋体"/>
        <charset val="134"/>
      </rPr>
      <t>动力设备</t>
    </r>
  </si>
  <si>
    <r>
      <rPr>
        <sz val="10"/>
        <color theme="1"/>
        <rFont val="Times New Roman"/>
        <charset val="134"/>
      </rPr>
      <t xml:space="preserve">   </t>
    </r>
    <r>
      <rPr>
        <sz val="10"/>
        <color theme="1"/>
        <rFont val="宋体"/>
        <charset val="134"/>
      </rPr>
      <t>出租车</t>
    </r>
    <r>
      <rPr>
        <sz val="10"/>
        <color theme="1"/>
        <rFont val="Times New Roman"/>
        <charset val="134"/>
      </rPr>
      <t>50</t>
    </r>
    <r>
      <rPr>
        <sz val="10"/>
        <color theme="1"/>
        <rFont val="宋体"/>
        <charset val="134"/>
      </rPr>
      <t>万公里</t>
    </r>
  </si>
  <si>
    <r>
      <rPr>
        <sz val="10"/>
        <color theme="1"/>
        <rFont val="Times New Roman"/>
        <charset val="134"/>
      </rPr>
      <t xml:space="preserve">   </t>
    </r>
    <r>
      <rPr>
        <sz val="10"/>
        <color theme="1"/>
        <rFont val="宋体"/>
        <charset val="134"/>
      </rPr>
      <t>工业锅炉</t>
    </r>
  </si>
  <si>
    <r>
      <rPr>
        <sz val="10"/>
        <color theme="1"/>
        <rFont val="Times New Roman"/>
        <charset val="134"/>
      </rPr>
      <t>16</t>
    </r>
    <r>
      <rPr>
        <sz val="10"/>
        <color theme="1"/>
        <rFont val="宋体"/>
        <charset val="134"/>
      </rPr>
      <t>～</t>
    </r>
    <r>
      <rPr>
        <sz val="10"/>
        <color theme="1"/>
        <rFont val="Times New Roman"/>
        <charset val="134"/>
      </rPr>
      <t>20</t>
    </r>
  </si>
  <si>
    <r>
      <rPr>
        <sz val="10"/>
        <color theme="1"/>
        <rFont val="Times New Roman"/>
        <charset val="134"/>
      </rPr>
      <t xml:space="preserve">   </t>
    </r>
    <r>
      <rPr>
        <sz val="10"/>
        <color theme="1"/>
        <rFont val="宋体"/>
        <charset val="134"/>
      </rPr>
      <t>其他车辆</t>
    </r>
    <r>
      <rPr>
        <sz val="10"/>
        <color theme="1"/>
        <rFont val="Times New Roman"/>
        <charset val="134"/>
      </rPr>
      <t>45</t>
    </r>
    <r>
      <rPr>
        <sz val="10"/>
        <color theme="1"/>
        <rFont val="宋体"/>
        <charset val="134"/>
      </rPr>
      <t>万公里</t>
    </r>
  </si>
  <si>
    <r>
      <rPr>
        <sz val="10"/>
        <color theme="1"/>
        <rFont val="Times New Roman"/>
        <charset val="134"/>
      </rPr>
      <t xml:space="preserve">   </t>
    </r>
    <r>
      <rPr>
        <sz val="10"/>
        <color theme="1"/>
        <rFont val="宋体"/>
        <charset val="134"/>
      </rPr>
      <t>锅炉及附属设备</t>
    </r>
  </si>
  <si>
    <t>（六）</t>
  </si>
  <si>
    <r>
      <rPr>
        <b/>
        <sz val="10"/>
        <color theme="1"/>
        <rFont val="宋体"/>
        <charset val="134"/>
      </rPr>
      <t>自动化控制及仪器仪表</t>
    </r>
  </si>
  <si>
    <r>
      <rPr>
        <sz val="10"/>
        <color theme="1"/>
        <rFont val="Times New Roman"/>
        <charset val="134"/>
      </rPr>
      <t xml:space="preserve">     </t>
    </r>
    <r>
      <rPr>
        <sz val="10"/>
        <color theme="1"/>
        <rFont val="宋体"/>
        <charset val="134"/>
      </rPr>
      <t>其中：快装锅炉</t>
    </r>
  </si>
  <si>
    <r>
      <rPr>
        <sz val="10"/>
        <color theme="1"/>
        <rFont val="Times New Roman"/>
        <charset val="134"/>
      </rPr>
      <t>15</t>
    </r>
    <r>
      <rPr>
        <sz val="10"/>
        <color theme="1"/>
        <rFont val="宋体"/>
        <charset val="134"/>
      </rPr>
      <t>～</t>
    </r>
    <r>
      <rPr>
        <sz val="10"/>
        <color theme="1"/>
        <rFont val="Times New Roman"/>
        <charset val="134"/>
      </rPr>
      <t>18</t>
    </r>
  </si>
  <si>
    <r>
      <rPr>
        <sz val="10"/>
        <color theme="1"/>
        <rFont val="Times New Roman"/>
        <charset val="134"/>
      </rPr>
      <t xml:space="preserve">   </t>
    </r>
    <r>
      <rPr>
        <sz val="10"/>
        <color theme="1"/>
        <rFont val="宋体"/>
        <charset val="134"/>
      </rPr>
      <t>自动化控制设备</t>
    </r>
  </si>
  <si>
    <r>
      <rPr>
        <sz val="10"/>
        <color theme="1"/>
        <rFont val="Times New Roman"/>
        <charset val="134"/>
      </rPr>
      <t>8</t>
    </r>
    <r>
      <rPr>
        <sz val="10"/>
        <color theme="1"/>
        <rFont val="宋体"/>
        <charset val="134"/>
      </rPr>
      <t>～</t>
    </r>
    <r>
      <rPr>
        <sz val="10"/>
        <color theme="1"/>
        <rFont val="Times New Roman"/>
        <charset val="134"/>
      </rPr>
      <t>16</t>
    </r>
  </si>
  <si>
    <r>
      <rPr>
        <sz val="10"/>
        <color theme="1"/>
        <rFont val="Times New Roman"/>
        <charset val="134"/>
      </rPr>
      <t xml:space="preserve">   </t>
    </r>
    <r>
      <rPr>
        <sz val="10"/>
        <color theme="1"/>
        <rFont val="宋体"/>
        <charset val="134"/>
      </rPr>
      <t>内燃机发电机组</t>
    </r>
  </si>
  <si>
    <r>
      <rPr>
        <sz val="10"/>
        <color theme="1"/>
        <rFont val="Times New Roman"/>
        <charset val="134"/>
      </rPr>
      <t xml:space="preserve">   </t>
    </r>
    <r>
      <rPr>
        <sz val="10"/>
        <color theme="1"/>
        <rFont val="宋体"/>
        <charset val="134"/>
      </rPr>
      <t>半自动化控制设备</t>
    </r>
  </si>
  <si>
    <r>
      <rPr>
        <sz val="10"/>
        <color theme="1"/>
        <rFont val="Times New Roman"/>
        <charset val="134"/>
      </rPr>
      <t>10</t>
    </r>
    <r>
      <rPr>
        <sz val="10"/>
        <color theme="1"/>
        <rFont val="宋体"/>
        <charset val="134"/>
      </rPr>
      <t>～</t>
    </r>
    <r>
      <rPr>
        <sz val="10"/>
        <color theme="1"/>
        <rFont val="Times New Roman"/>
        <charset val="134"/>
      </rPr>
      <t>16</t>
    </r>
  </si>
  <si>
    <r>
      <rPr>
        <sz val="10"/>
        <color theme="1"/>
        <rFont val="Times New Roman"/>
        <charset val="134"/>
      </rPr>
      <t xml:space="preserve">   </t>
    </r>
    <r>
      <rPr>
        <sz val="10"/>
        <color theme="1"/>
        <rFont val="宋体"/>
        <charset val="134"/>
      </rPr>
      <t>发电机组</t>
    </r>
  </si>
  <si>
    <r>
      <rPr>
        <sz val="10"/>
        <color theme="1"/>
        <rFont val="Times New Roman"/>
        <charset val="134"/>
      </rPr>
      <t>16</t>
    </r>
    <r>
      <rPr>
        <sz val="10"/>
        <color theme="1"/>
        <rFont val="宋体"/>
        <charset val="134"/>
      </rPr>
      <t>～</t>
    </r>
    <r>
      <rPr>
        <sz val="10"/>
        <color theme="1"/>
        <rFont val="Times New Roman"/>
        <charset val="134"/>
      </rPr>
      <t>23</t>
    </r>
  </si>
  <si>
    <r>
      <rPr>
        <sz val="10"/>
        <color theme="1"/>
        <rFont val="Times New Roman"/>
        <charset val="134"/>
      </rPr>
      <t xml:space="preserve">   </t>
    </r>
    <r>
      <rPr>
        <sz val="10"/>
        <color theme="1"/>
        <rFont val="宋体"/>
        <charset val="134"/>
      </rPr>
      <t>检测仪器设备</t>
    </r>
  </si>
  <si>
    <r>
      <rPr>
        <sz val="10"/>
        <color theme="1"/>
        <rFont val="Times New Roman"/>
        <charset val="134"/>
      </rPr>
      <t xml:space="preserve">   </t>
    </r>
    <r>
      <rPr>
        <sz val="10"/>
        <color theme="1"/>
        <rFont val="宋体"/>
        <charset val="134"/>
      </rPr>
      <t>风机</t>
    </r>
  </si>
  <si>
    <r>
      <rPr>
        <sz val="10"/>
        <color theme="1"/>
        <rFont val="Times New Roman"/>
        <charset val="134"/>
      </rPr>
      <t xml:space="preserve">   </t>
    </r>
    <r>
      <rPr>
        <sz val="10"/>
        <color theme="1"/>
        <rFont val="宋体"/>
        <charset val="134"/>
      </rPr>
      <t>电脑</t>
    </r>
  </si>
  <si>
    <r>
      <rPr>
        <sz val="10"/>
        <color theme="1"/>
        <rFont val="Times New Roman"/>
        <charset val="134"/>
      </rPr>
      <t>4</t>
    </r>
    <r>
      <rPr>
        <sz val="10"/>
        <color theme="1"/>
        <rFont val="宋体"/>
        <charset val="134"/>
      </rPr>
      <t>～</t>
    </r>
    <r>
      <rPr>
        <sz val="10"/>
        <color theme="1"/>
        <rFont val="Times New Roman"/>
        <charset val="134"/>
      </rPr>
      <t>6</t>
    </r>
  </si>
  <si>
    <r>
      <rPr>
        <sz val="10"/>
        <color theme="1"/>
        <rFont val="Times New Roman"/>
        <charset val="134"/>
      </rPr>
      <t xml:space="preserve">   </t>
    </r>
    <r>
      <rPr>
        <sz val="10"/>
        <color theme="1"/>
        <rFont val="宋体"/>
        <charset val="134"/>
      </rPr>
      <t>泵</t>
    </r>
  </si>
  <si>
    <r>
      <rPr>
        <sz val="10"/>
        <color theme="1"/>
        <rFont val="Times New Roman"/>
        <charset val="134"/>
      </rPr>
      <t>8</t>
    </r>
    <r>
      <rPr>
        <sz val="10"/>
        <color theme="1"/>
        <rFont val="宋体"/>
        <charset val="134"/>
      </rPr>
      <t>～</t>
    </r>
    <r>
      <rPr>
        <sz val="10"/>
        <color theme="1"/>
        <rFont val="Times New Roman"/>
        <charset val="134"/>
      </rPr>
      <t>12</t>
    </r>
  </si>
  <si>
    <r>
      <rPr>
        <sz val="10"/>
        <color theme="1"/>
        <rFont val="Times New Roman"/>
        <charset val="134"/>
      </rPr>
      <t xml:space="preserve">   </t>
    </r>
    <r>
      <rPr>
        <sz val="10"/>
        <color theme="1"/>
        <rFont val="宋体"/>
        <charset val="134"/>
      </rPr>
      <t>通用测试仪器及设备</t>
    </r>
  </si>
  <si>
    <r>
      <rPr>
        <sz val="10"/>
        <color theme="1"/>
        <rFont val="Times New Roman"/>
        <charset val="134"/>
      </rPr>
      <t xml:space="preserve">   </t>
    </r>
    <r>
      <rPr>
        <sz val="10"/>
        <color theme="1"/>
        <rFont val="宋体"/>
        <charset val="134"/>
      </rPr>
      <t>空气压缩机组</t>
    </r>
  </si>
  <si>
    <r>
      <rPr>
        <sz val="10"/>
        <color theme="1"/>
        <rFont val="Times New Roman"/>
        <charset val="134"/>
      </rPr>
      <t xml:space="preserve">   </t>
    </r>
    <r>
      <rPr>
        <sz val="10"/>
        <color theme="1"/>
        <rFont val="宋体"/>
        <charset val="134"/>
      </rPr>
      <t>其他自动化控制及仪器仪表</t>
    </r>
  </si>
  <si>
    <r>
      <rPr>
        <sz val="10"/>
        <color theme="1"/>
        <rFont val="Times New Roman"/>
        <charset val="134"/>
      </rPr>
      <t xml:space="preserve">   </t>
    </r>
    <r>
      <rPr>
        <sz val="10"/>
        <color theme="1"/>
        <rFont val="宋体"/>
        <charset val="134"/>
      </rPr>
      <t>集中空调设备</t>
    </r>
  </si>
  <si>
    <r>
      <rPr>
        <b/>
        <sz val="10"/>
        <color theme="1"/>
        <rFont val="宋体"/>
        <charset val="134"/>
      </rPr>
      <t>（七）</t>
    </r>
  </si>
  <si>
    <r>
      <rPr>
        <b/>
        <sz val="10"/>
        <color theme="1"/>
        <rFont val="宋体"/>
        <charset val="134"/>
      </rPr>
      <t>工业炉窑</t>
    </r>
  </si>
  <si>
    <r>
      <rPr>
        <sz val="10"/>
        <color theme="1"/>
        <rFont val="Times New Roman"/>
        <charset val="134"/>
      </rPr>
      <t xml:space="preserve">     </t>
    </r>
    <r>
      <rPr>
        <sz val="10"/>
        <color theme="1"/>
        <rFont val="宋体"/>
        <charset val="134"/>
      </rPr>
      <t>其中</t>
    </r>
    <r>
      <rPr>
        <sz val="10"/>
        <color theme="1"/>
        <rFont val="Times New Roman"/>
        <charset val="134"/>
      </rPr>
      <t>:</t>
    </r>
    <r>
      <rPr>
        <sz val="10"/>
        <color theme="1"/>
        <rFont val="宋体"/>
        <charset val="134"/>
      </rPr>
      <t>小型空调器</t>
    </r>
    <r>
      <rPr>
        <sz val="10"/>
        <color theme="1"/>
        <rFont val="Times New Roman"/>
        <charset val="134"/>
      </rPr>
      <t>(700</t>
    </r>
    <r>
      <rPr>
        <sz val="10"/>
        <color theme="1"/>
        <rFont val="宋体"/>
        <charset val="134"/>
      </rPr>
      <t>大卡以下</t>
    </r>
    <r>
      <rPr>
        <sz val="10"/>
        <color theme="1"/>
        <rFont val="Times New Roman"/>
        <charset val="134"/>
      </rPr>
      <t>/</t>
    </r>
    <r>
      <rPr>
        <sz val="10"/>
        <color theme="1"/>
        <rFont val="宋体"/>
        <charset val="134"/>
      </rPr>
      <t>时</t>
    </r>
    <r>
      <rPr>
        <sz val="10"/>
        <color theme="1"/>
        <rFont val="Times New Roman"/>
        <charset val="134"/>
      </rPr>
      <t>)</t>
    </r>
  </si>
  <si>
    <r>
      <rPr>
        <sz val="10"/>
        <color theme="1"/>
        <rFont val="Times New Roman"/>
        <charset val="134"/>
      </rPr>
      <t xml:space="preserve">   </t>
    </r>
    <r>
      <rPr>
        <sz val="10"/>
        <color theme="1"/>
        <rFont val="宋体"/>
        <charset val="134"/>
      </rPr>
      <t>工业炉窑</t>
    </r>
  </si>
  <si>
    <r>
      <rPr>
        <sz val="10"/>
        <color theme="1"/>
        <rFont val="Times New Roman"/>
        <charset val="134"/>
      </rPr>
      <t xml:space="preserve">   </t>
    </r>
    <r>
      <rPr>
        <sz val="10"/>
        <color theme="1"/>
        <rFont val="宋体"/>
        <charset val="134"/>
      </rPr>
      <t>空调机</t>
    </r>
  </si>
  <si>
    <r>
      <rPr>
        <sz val="10"/>
        <color theme="1"/>
        <rFont val="Times New Roman"/>
        <charset val="134"/>
      </rPr>
      <t xml:space="preserve">   </t>
    </r>
    <r>
      <rPr>
        <sz val="10"/>
        <color theme="1"/>
        <rFont val="宋体"/>
        <charset val="134"/>
      </rPr>
      <t>熔炼炉</t>
    </r>
  </si>
  <si>
    <r>
      <rPr>
        <sz val="10"/>
        <color theme="1"/>
        <rFont val="Times New Roman"/>
        <charset val="134"/>
      </rPr>
      <t xml:space="preserve">   </t>
    </r>
    <r>
      <rPr>
        <sz val="10"/>
        <color theme="1"/>
        <rFont val="宋体"/>
        <charset val="134"/>
      </rPr>
      <t>其他动力设备</t>
    </r>
  </si>
  <si>
    <r>
      <rPr>
        <sz val="10"/>
        <color theme="1"/>
        <rFont val="Times New Roman"/>
        <charset val="134"/>
      </rPr>
      <t>12</t>
    </r>
    <r>
      <rPr>
        <sz val="10"/>
        <color theme="1"/>
        <rFont val="宋体"/>
        <charset val="134"/>
      </rPr>
      <t>～</t>
    </r>
    <r>
      <rPr>
        <sz val="10"/>
        <color theme="1"/>
        <rFont val="Times New Roman"/>
        <charset val="134"/>
      </rPr>
      <t>20</t>
    </r>
  </si>
  <si>
    <r>
      <rPr>
        <sz val="10"/>
        <color theme="1"/>
        <rFont val="Times New Roman"/>
        <charset val="134"/>
      </rPr>
      <t xml:space="preserve">   </t>
    </r>
    <r>
      <rPr>
        <sz val="10"/>
        <color theme="1"/>
        <rFont val="宋体"/>
        <charset val="134"/>
      </rPr>
      <t>冶炼电炉</t>
    </r>
  </si>
  <si>
    <r>
      <rPr>
        <sz val="10"/>
        <color theme="1"/>
        <rFont val="Times New Roman"/>
        <charset val="134"/>
      </rPr>
      <t>10</t>
    </r>
    <r>
      <rPr>
        <sz val="10"/>
        <color theme="1"/>
        <rFont val="宋体"/>
        <charset val="134"/>
      </rPr>
      <t>～</t>
    </r>
    <r>
      <rPr>
        <sz val="10"/>
        <color theme="1"/>
        <rFont val="Times New Roman"/>
        <charset val="134"/>
      </rPr>
      <t>15</t>
    </r>
  </si>
  <si>
    <r>
      <rPr>
        <b/>
        <sz val="10"/>
        <color theme="1"/>
        <rFont val="Times New Roman"/>
        <charset val="134"/>
      </rPr>
      <t>(</t>
    </r>
    <r>
      <rPr>
        <b/>
        <sz val="10"/>
        <color theme="1"/>
        <rFont val="宋体"/>
        <charset val="134"/>
      </rPr>
      <t>三）</t>
    </r>
  </si>
  <si>
    <r>
      <rPr>
        <b/>
        <sz val="10"/>
        <color theme="1"/>
        <rFont val="宋体"/>
        <charset val="134"/>
      </rPr>
      <t>传导设备</t>
    </r>
  </si>
  <si>
    <r>
      <rPr>
        <sz val="10"/>
        <color theme="1"/>
        <rFont val="Times New Roman"/>
        <charset val="134"/>
      </rPr>
      <t xml:space="preserve">   </t>
    </r>
    <r>
      <rPr>
        <sz val="10"/>
        <color theme="1"/>
        <rFont val="宋体"/>
        <charset val="134"/>
      </rPr>
      <t>热处理炉窑</t>
    </r>
  </si>
  <si>
    <r>
      <rPr>
        <sz val="10"/>
        <color theme="1"/>
        <rFont val="Times New Roman"/>
        <charset val="134"/>
      </rPr>
      <t xml:space="preserve">   </t>
    </r>
    <r>
      <rPr>
        <sz val="10"/>
        <color theme="1"/>
        <rFont val="宋体"/>
        <charset val="134"/>
      </rPr>
      <t>变配电设备</t>
    </r>
  </si>
  <si>
    <r>
      <rPr>
        <sz val="10"/>
        <color theme="1"/>
        <rFont val="Times New Roman"/>
        <charset val="134"/>
      </rPr>
      <t xml:space="preserve">   </t>
    </r>
    <r>
      <rPr>
        <sz val="10"/>
        <color theme="1"/>
        <rFont val="宋体"/>
        <charset val="134"/>
      </rPr>
      <t>加热炉</t>
    </r>
  </si>
  <si>
    <r>
      <rPr>
        <sz val="10"/>
        <color theme="1"/>
        <rFont val="Times New Roman"/>
        <charset val="134"/>
      </rPr>
      <t xml:space="preserve">   </t>
    </r>
    <r>
      <rPr>
        <sz val="10"/>
        <color theme="1"/>
        <rFont val="宋体"/>
        <charset val="134"/>
      </rPr>
      <t>输电设备</t>
    </r>
  </si>
  <si>
    <r>
      <rPr>
        <sz val="10"/>
        <color theme="1"/>
        <rFont val="Times New Roman"/>
        <charset val="134"/>
      </rPr>
      <t xml:space="preserve">   </t>
    </r>
    <r>
      <rPr>
        <sz val="10"/>
        <color theme="1"/>
        <rFont val="宋体"/>
        <charset val="134"/>
      </rPr>
      <t>干燥炉</t>
    </r>
  </si>
  <si>
    <r>
      <rPr>
        <sz val="10"/>
        <color theme="1"/>
        <rFont val="Times New Roman"/>
        <charset val="134"/>
      </rPr>
      <t xml:space="preserve">   </t>
    </r>
    <r>
      <rPr>
        <sz val="10"/>
        <color theme="1"/>
        <rFont val="宋体"/>
        <charset val="134"/>
      </rPr>
      <t>电讯设备</t>
    </r>
  </si>
  <si>
    <r>
      <rPr>
        <sz val="10"/>
        <color theme="1"/>
        <rFont val="Times New Roman"/>
        <charset val="134"/>
      </rPr>
      <t xml:space="preserve">   </t>
    </r>
    <r>
      <rPr>
        <sz val="10"/>
        <color theme="1"/>
        <rFont val="宋体"/>
        <charset val="134"/>
      </rPr>
      <t>电子专用炉</t>
    </r>
  </si>
  <si>
    <r>
      <rPr>
        <sz val="10"/>
        <color theme="1"/>
        <rFont val="Times New Roman"/>
        <charset val="134"/>
      </rPr>
      <t xml:space="preserve">   </t>
    </r>
    <r>
      <rPr>
        <sz val="10"/>
        <color theme="1"/>
        <rFont val="宋体"/>
        <charset val="134"/>
      </rPr>
      <t>输电线路</t>
    </r>
  </si>
  <si>
    <r>
      <rPr>
        <sz val="10"/>
        <color theme="1"/>
        <rFont val="Times New Roman"/>
        <charset val="134"/>
      </rPr>
      <t>30</t>
    </r>
    <r>
      <rPr>
        <sz val="10"/>
        <color theme="1"/>
        <rFont val="宋体"/>
        <charset val="134"/>
      </rPr>
      <t>～</t>
    </r>
    <r>
      <rPr>
        <sz val="10"/>
        <color theme="1"/>
        <rFont val="Times New Roman"/>
        <charset val="134"/>
      </rPr>
      <t>35</t>
    </r>
  </si>
  <si>
    <r>
      <rPr>
        <sz val="10"/>
        <color theme="1"/>
        <rFont val="Times New Roman"/>
        <charset val="134"/>
      </rPr>
      <t xml:space="preserve">   </t>
    </r>
    <r>
      <rPr>
        <sz val="10"/>
        <color theme="1"/>
        <rFont val="宋体"/>
        <charset val="134"/>
      </rPr>
      <t>其他工业炉窑</t>
    </r>
  </si>
  <si>
    <r>
      <rPr>
        <sz val="10"/>
        <color theme="1"/>
        <rFont val="Times New Roman"/>
        <charset val="134"/>
      </rPr>
      <t xml:space="preserve">   </t>
    </r>
    <r>
      <rPr>
        <sz val="10"/>
        <color theme="1"/>
        <rFont val="宋体"/>
        <charset val="134"/>
      </rPr>
      <t>其他传导设备</t>
    </r>
  </si>
  <si>
    <r>
      <rPr>
        <b/>
        <sz val="10"/>
        <color theme="1"/>
        <rFont val="宋体"/>
        <charset val="134"/>
      </rPr>
      <t>（八）</t>
    </r>
  </si>
  <si>
    <r>
      <rPr>
        <b/>
        <sz val="10"/>
        <color theme="1"/>
        <rFont val="宋体"/>
        <charset val="134"/>
      </rPr>
      <t>非生产用设备及器具</t>
    </r>
  </si>
  <si>
    <r>
      <rPr>
        <b/>
        <sz val="10"/>
        <color theme="1"/>
        <rFont val="宋体"/>
        <charset val="134"/>
      </rPr>
      <t>（四）</t>
    </r>
  </si>
  <si>
    <r>
      <rPr>
        <b/>
        <sz val="10"/>
        <color theme="1"/>
        <rFont val="宋体"/>
        <charset val="134"/>
      </rPr>
      <t>工具及其他生产用具</t>
    </r>
  </si>
  <si>
    <r>
      <rPr>
        <sz val="10"/>
        <color theme="1"/>
        <rFont val="Times New Roman"/>
        <charset val="134"/>
      </rPr>
      <t xml:space="preserve">   </t>
    </r>
    <r>
      <rPr>
        <sz val="10"/>
        <color theme="1"/>
        <rFont val="宋体"/>
        <charset val="134"/>
      </rPr>
      <t>管理部门用的设备工具</t>
    </r>
  </si>
  <si>
    <r>
      <rPr>
        <sz val="10"/>
        <color theme="1"/>
        <rFont val="Times New Roman"/>
        <charset val="134"/>
      </rPr>
      <t xml:space="preserve">   </t>
    </r>
    <r>
      <rPr>
        <sz val="10"/>
        <color theme="1"/>
        <rFont val="宋体"/>
        <charset val="134"/>
      </rPr>
      <t>成套工具</t>
    </r>
  </si>
  <si>
    <r>
      <rPr>
        <sz val="10"/>
        <color theme="1"/>
        <rFont val="Times New Roman"/>
        <charset val="134"/>
      </rPr>
      <t xml:space="preserve">   </t>
    </r>
    <r>
      <rPr>
        <sz val="10"/>
        <color theme="1"/>
        <rFont val="宋体"/>
        <charset val="134"/>
      </rPr>
      <t>卫生医务部门的设备工具</t>
    </r>
  </si>
  <si>
    <r>
      <rPr>
        <sz val="10"/>
        <color theme="1"/>
        <rFont val="Times New Roman"/>
        <charset val="134"/>
      </rPr>
      <t xml:space="preserve">   </t>
    </r>
    <r>
      <rPr>
        <sz val="10"/>
        <color theme="1"/>
        <rFont val="宋体"/>
        <charset val="134"/>
      </rPr>
      <t>一般工具</t>
    </r>
  </si>
  <si>
    <r>
      <rPr>
        <sz val="10"/>
        <color theme="1"/>
        <rFont val="Times New Roman"/>
        <charset val="134"/>
      </rPr>
      <t xml:space="preserve">   </t>
    </r>
    <r>
      <rPr>
        <sz val="10"/>
        <color theme="1"/>
        <rFont val="宋体"/>
        <charset val="134"/>
      </rPr>
      <t>教学设备、工具</t>
    </r>
  </si>
  <si>
    <r>
      <rPr>
        <sz val="10"/>
        <color theme="1"/>
        <rFont val="Times New Roman"/>
        <charset val="134"/>
      </rPr>
      <t xml:space="preserve">   </t>
    </r>
    <r>
      <rPr>
        <sz val="10"/>
        <color theme="1"/>
        <rFont val="宋体"/>
        <charset val="134"/>
      </rPr>
      <t>焊接设备</t>
    </r>
  </si>
  <si>
    <r>
      <rPr>
        <sz val="10"/>
        <color theme="1"/>
        <rFont val="Times New Roman"/>
        <charset val="134"/>
      </rPr>
      <t xml:space="preserve">    </t>
    </r>
    <r>
      <rPr>
        <sz val="10"/>
        <color theme="1"/>
        <rFont val="宋体"/>
        <charset val="134"/>
      </rPr>
      <t>其中：电视机</t>
    </r>
  </si>
  <si>
    <r>
      <rPr>
        <sz val="10"/>
        <color theme="1"/>
        <rFont val="Times New Roman"/>
        <charset val="134"/>
      </rPr>
      <t xml:space="preserve">   </t>
    </r>
    <r>
      <rPr>
        <sz val="10"/>
        <color theme="1"/>
        <rFont val="宋体"/>
        <charset val="134"/>
      </rPr>
      <t>加热、干燥炉、箱</t>
    </r>
  </si>
  <si>
    <r>
      <rPr>
        <sz val="10"/>
        <color theme="1"/>
        <rFont val="Times New Roman"/>
        <charset val="134"/>
      </rPr>
      <t xml:space="preserve">   </t>
    </r>
    <r>
      <rPr>
        <sz val="10"/>
        <color theme="1"/>
        <rFont val="宋体"/>
        <charset val="134"/>
      </rPr>
      <t>家用电器</t>
    </r>
  </si>
  <si>
    <r>
      <rPr>
        <sz val="10"/>
        <color theme="1"/>
        <rFont val="Times New Roman"/>
        <charset val="134"/>
      </rPr>
      <t>7</t>
    </r>
    <r>
      <rPr>
        <sz val="10"/>
        <color theme="1"/>
        <rFont val="宋体"/>
        <charset val="134"/>
      </rPr>
      <t>～</t>
    </r>
    <r>
      <rPr>
        <sz val="10"/>
        <color theme="1"/>
        <rFont val="Times New Roman"/>
        <charset val="134"/>
      </rPr>
      <t>10</t>
    </r>
  </si>
  <si>
    <r>
      <rPr>
        <sz val="10"/>
        <color theme="1"/>
        <rFont val="Times New Roman"/>
        <charset val="134"/>
      </rPr>
      <t xml:space="preserve">   </t>
    </r>
    <r>
      <rPr>
        <sz val="10"/>
        <color theme="1"/>
        <rFont val="宋体"/>
        <charset val="134"/>
      </rPr>
      <t>其他工具及生产用具</t>
    </r>
  </si>
  <si>
    <r>
      <rPr>
        <sz val="10"/>
        <color theme="1"/>
        <rFont val="Times New Roman"/>
        <charset val="134"/>
      </rPr>
      <t xml:space="preserve">   </t>
    </r>
    <r>
      <rPr>
        <sz val="10"/>
        <color theme="1"/>
        <rFont val="宋体"/>
        <charset val="134"/>
      </rPr>
      <t>生活福利部门的设备工具</t>
    </r>
  </si>
  <si>
    <r>
      <rPr>
        <sz val="10"/>
        <color theme="1"/>
        <rFont val="Times New Roman"/>
        <charset val="134"/>
      </rPr>
      <t xml:space="preserve">   </t>
    </r>
    <r>
      <rPr>
        <sz val="10"/>
        <color theme="1"/>
        <rFont val="宋体"/>
        <charset val="134"/>
      </rPr>
      <t>其他非生产用设备及工具</t>
    </r>
  </si>
  <si>
    <t>二</t>
  </si>
  <si>
    <t>专用设备</t>
  </si>
  <si>
    <t>碳素制品设备</t>
  </si>
  <si>
    <t>（一）</t>
  </si>
  <si>
    <t>冶金工业专用设备</t>
  </si>
  <si>
    <t>12～20</t>
  </si>
  <si>
    <t>①</t>
  </si>
  <si>
    <t xml:space="preserve">   原材料粉碎设备</t>
  </si>
  <si>
    <t>炼钢设备</t>
  </si>
  <si>
    <t>②</t>
  </si>
  <si>
    <t xml:space="preserve">   成型挤压机</t>
  </si>
  <si>
    <t xml:space="preserve">   平炉</t>
  </si>
  <si>
    <t>③</t>
  </si>
  <si>
    <t xml:space="preserve">   加工设备</t>
  </si>
  <si>
    <t xml:space="preserve">   电炉</t>
  </si>
  <si>
    <t>④</t>
  </si>
  <si>
    <t xml:space="preserve">   除尘装置</t>
  </si>
  <si>
    <t xml:space="preserve">   转炉</t>
  </si>
  <si>
    <t>⑤</t>
  </si>
  <si>
    <t xml:space="preserve">   烟气回收装置</t>
  </si>
  <si>
    <t xml:space="preserve">   特种冶炼设备</t>
  </si>
  <si>
    <t>⑥</t>
  </si>
  <si>
    <t xml:space="preserve">   炭素窑炉</t>
  </si>
  <si>
    <t xml:space="preserve">   连铸机</t>
  </si>
  <si>
    <t>⑦</t>
  </si>
  <si>
    <t xml:space="preserve">   其他炭素制品专用设备</t>
  </si>
  <si>
    <t xml:space="preserve">   制氧机</t>
  </si>
  <si>
    <t>耐火材料设备</t>
  </si>
  <si>
    <t xml:space="preserve">   其他炼钢专用设备</t>
  </si>
  <si>
    <t xml:space="preserve">   破碎设备</t>
  </si>
  <si>
    <t>10～15</t>
  </si>
  <si>
    <t>炼铁及铸管设备</t>
  </si>
  <si>
    <t xml:space="preserve">   摩擦压砖机</t>
  </si>
  <si>
    <t xml:space="preserve">   高炉</t>
  </si>
  <si>
    <t xml:space="preserve">   隧道窑：超高温</t>
  </si>
  <si>
    <t xml:space="preserve">   高中温</t>
  </si>
  <si>
    <t xml:space="preserve">   铸管设备</t>
  </si>
  <si>
    <t xml:space="preserve">   耐火纤维喷吹炉</t>
  </si>
  <si>
    <t xml:space="preserve">   烧结机</t>
  </si>
  <si>
    <t xml:space="preserve">   其他耐火材料专用设备</t>
  </si>
  <si>
    <t xml:space="preserve">   其他炼铁及铸管专用设备</t>
  </si>
  <si>
    <t>有色冶炼设备</t>
  </si>
  <si>
    <t>钢压延加工设备</t>
  </si>
  <si>
    <t xml:space="preserve">   反射炉</t>
  </si>
  <si>
    <t xml:space="preserve">   初轧机</t>
  </si>
  <si>
    <t xml:space="preserve">   开坯机</t>
  </si>
  <si>
    <t xml:space="preserve">   大中型轧机</t>
  </si>
  <si>
    <t>其他冶炼专用设备</t>
  </si>
  <si>
    <t xml:space="preserve">   小型轧机(直径350以下)</t>
  </si>
  <si>
    <t xml:space="preserve">   有色加工设备</t>
  </si>
  <si>
    <t xml:space="preserve">   冷轧机</t>
  </si>
  <si>
    <t>14～18</t>
  </si>
  <si>
    <t xml:space="preserve">   拉伸机</t>
  </si>
  <si>
    <t xml:space="preserve">   热轧机</t>
  </si>
  <si>
    <t xml:space="preserve">   挤压机</t>
  </si>
  <si>
    <t>⑧</t>
  </si>
  <si>
    <t xml:space="preserve">   其他热轧机</t>
  </si>
  <si>
    <t>12～18</t>
  </si>
  <si>
    <t>⑨</t>
  </si>
  <si>
    <t xml:space="preserve">   轧钢加热炉</t>
  </si>
  <si>
    <t>⑩</t>
  </si>
  <si>
    <t xml:space="preserve">   酸洗设备</t>
  </si>
  <si>
    <t xml:space="preserve">   各类酸洗设备</t>
  </si>
  <si>
    <t xml:space="preserve">   其他钢压延加工专用设备</t>
  </si>
  <si>
    <t xml:space="preserve">   其他有色加工专用设备</t>
  </si>
  <si>
    <t>铁合金冶炼设备</t>
  </si>
  <si>
    <t xml:space="preserve">   铁合金高炉</t>
  </si>
  <si>
    <t>（二）</t>
  </si>
  <si>
    <t>电力工业专用设备</t>
  </si>
  <si>
    <t>20～30</t>
  </si>
  <si>
    <t xml:space="preserve">   铁合金电炉</t>
  </si>
  <si>
    <t xml:space="preserve">   水轮发电机组</t>
  </si>
  <si>
    <t xml:space="preserve">   矾渣转炉</t>
  </si>
  <si>
    <t xml:space="preserve">   汽轮发电机组</t>
  </si>
  <si>
    <t xml:space="preserve">   其他铁合金冶炼专用设备</t>
  </si>
  <si>
    <t xml:space="preserve">   内燃发电机组</t>
  </si>
  <si>
    <t>洗煤焦化设备</t>
  </si>
  <si>
    <t xml:space="preserve">   铁塔、水泥杆</t>
  </si>
  <si>
    <t xml:space="preserve">   焦化产品精制设备</t>
  </si>
  <si>
    <t xml:space="preserve">   电缆、木杆线路</t>
  </si>
  <si>
    <t xml:space="preserve">   机械化焦炉</t>
  </si>
  <si>
    <t xml:space="preserve">   变电设备</t>
  </si>
  <si>
    <t xml:space="preserve">   煤气净化设备</t>
  </si>
  <si>
    <t xml:space="preserve">   配电设备</t>
  </si>
  <si>
    <t xml:space="preserve">   接触转化塔</t>
  </si>
  <si>
    <t xml:space="preserve">   电力工业其他专用设备</t>
  </si>
  <si>
    <t xml:space="preserve">   其他洗煤焦化专用设备</t>
  </si>
  <si>
    <t>（三）</t>
  </si>
  <si>
    <t>机械工业专用设备</t>
  </si>
  <si>
    <t xml:space="preserve">      聚乙烯醇</t>
  </si>
  <si>
    <t xml:space="preserve">   生产标准件加工设备</t>
  </si>
  <si>
    <t xml:space="preserve">      空气装置</t>
  </si>
  <si>
    <t xml:space="preserve">   电焊条加工专用设备</t>
  </si>
  <si>
    <t xml:space="preserve">      乙醛装置</t>
  </si>
  <si>
    <t xml:space="preserve">   汽车、拖拉机、内燃机加工专用设备</t>
  </si>
  <si>
    <t xml:space="preserve">      氰化钠装置</t>
  </si>
  <si>
    <t xml:space="preserve">   电器绝缘材料加工专用设备</t>
  </si>
  <si>
    <t xml:space="preserve">      丙稀腈装置</t>
  </si>
  <si>
    <t xml:space="preserve">   轴承材料加工专用设备</t>
  </si>
  <si>
    <t xml:space="preserve">      醋酸装置</t>
  </si>
  <si>
    <t xml:space="preserve">   液压件气动元件加工专用设备</t>
  </si>
  <si>
    <t xml:space="preserve">      高压聚乙烯装置</t>
  </si>
  <si>
    <t xml:space="preserve">   电线电缆加工专用设备</t>
  </si>
  <si>
    <t xml:space="preserve">      硫氰酸钠装置</t>
  </si>
  <si>
    <t xml:space="preserve">   汽轮机、电机加工专用设备</t>
  </si>
  <si>
    <t xml:space="preserve">      对二甲苯、腈纶聚合装置</t>
  </si>
  <si>
    <t xml:space="preserve">   矿山机械加工专用设备</t>
  </si>
  <si>
    <t xml:space="preserve">      对二甲苯、氧化脂化装置</t>
  </si>
  <si>
    <t xml:space="preserve">   冷冻机、石油化工产品机械</t>
  </si>
  <si>
    <t>合成氨（中型）</t>
  </si>
  <si>
    <t xml:space="preserve">   阀门加工专用设备</t>
  </si>
  <si>
    <t>其中：煤气炉</t>
  </si>
  <si>
    <t xml:space="preserve">   食品机械加工用设备</t>
  </si>
  <si>
    <t xml:space="preserve">      氰氨压缩机</t>
  </si>
  <si>
    <t xml:space="preserve">   造纸、印刷机械加工用设备</t>
  </si>
  <si>
    <t xml:space="preserve">      合成氨合成</t>
  </si>
  <si>
    <t xml:space="preserve">   塑料、橡胶机械加工用设备</t>
  </si>
  <si>
    <t>合成氨（小型）</t>
  </si>
  <si>
    <t xml:space="preserve">   制药机械加工用设备</t>
  </si>
  <si>
    <t xml:space="preserve">   生产锅炉、电站附机、空分装置</t>
  </si>
  <si>
    <t xml:space="preserve">      氢氮压缩机</t>
  </si>
  <si>
    <t xml:space="preserve">   专用生产切削工具专用设备</t>
  </si>
  <si>
    <t xml:space="preserve">   机床加工专用设备 </t>
  </si>
  <si>
    <t>化肥尿素</t>
  </si>
  <si>
    <t xml:space="preserve">     其中：组合机床</t>
  </si>
  <si>
    <t>其中：二氧化炭压缩机</t>
  </si>
  <si>
    <t xml:space="preserve">           数控加工机床</t>
  </si>
  <si>
    <t>硫酸</t>
  </si>
  <si>
    <t xml:space="preserve">           磨加工机床</t>
  </si>
  <si>
    <t>其中：焙烧炉</t>
  </si>
  <si>
    <t xml:space="preserve">           镗铣加工机床</t>
  </si>
  <si>
    <t xml:space="preserve">      接触塔</t>
  </si>
  <si>
    <t xml:space="preserve">   生产纺织机械专用设备</t>
  </si>
  <si>
    <t xml:space="preserve">      转化器</t>
  </si>
  <si>
    <t xml:space="preserve">   机械工业其他专用设备</t>
  </si>
  <si>
    <t>氯磷酸设备</t>
  </si>
  <si>
    <t>（四）</t>
  </si>
  <si>
    <t>石油、化工工业专用设备</t>
  </si>
  <si>
    <t>甲醇</t>
  </si>
  <si>
    <t>原油加工</t>
  </si>
  <si>
    <t>烧碱</t>
  </si>
  <si>
    <t xml:space="preserve">   蒸馏设备</t>
  </si>
  <si>
    <t>其中：整流器</t>
  </si>
  <si>
    <t xml:space="preserve">   裂化设备</t>
  </si>
  <si>
    <t xml:space="preserve">      电解槽</t>
  </si>
  <si>
    <t xml:space="preserve">   加氢设备</t>
  </si>
  <si>
    <t xml:space="preserve">      蒸发器(不包括敞口平锅)</t>
  </si>
  <si>
    <t xml:space="preserve">   焦化设备</t>
  </si>
  <si>
    <t xml:space="preserve">      围碱锅</t>
  </si>
  <si>
    <t xml:space="preserve">   脱腊设备</t>
  </si>
  <si>
    <t>纯碱</t>
  </si>
  <si>
    <t xml:space="preserve">   沥青装置</t>
  </si>
  <si>
    <t>其中：碳化塔</t>
  </si>
  <si>
    <t xml:space="preserve">   页岩原油矿装置</t>
  </si>
  <si>
    <t xml:space="preserve">      煅烧炉</t>
  </si>
  <si>
    <t xml:space="preserve">   页岩原油装置</t>
  </si>
  <si>
    <t>电石</t>
  </si>
  <si>
    <t xml:space="preserve">   轻质油装置</t>
  </si>
  <si>
    <t>其中：电炉变压器</t>
  </si>
  <si>
    <t xml:space="preserve">   重整设备（铂重整、芳烃油）</t>
  </si>
  <si>
    <t>硝酸</t>
  </si>
  <si>
    <t xml:space="preserve">   提、对二甲苯装置</t>
  </si>
  <si>
    <t>铬酸、电解双氧水水合肼</t>
  </si>
  <si>
    <t>乙烯、丙稀</t>
  </si>
  <si>
    <t>草酸、硝酸盐、硫酸盐</t>
  </si>
  <si>
    <t>其中：小型、炭钢设备</t>
  </si>
  <si>
    <t>磷酸、三氧化磷、氢氧酸及其生产品</t>
  </si>
  <si>
    <t xml:space="preserve">      裂解炉</t>
  </si>
  <si>
    <t>阳离子、还原、活性染料</t>
  </si>
  <si>
    <t xml:space="preserve">      裂解器压缩机</t>
  </si>
  <si>
    <t>苯酚、苯酐、乙酚</t>
  </si>
  <si>
    <t>酞菁染料、氯醌</t>
  </si>
  <si>
    <t>石英玻璃生产设备</t>
  </si>
  <si>
    <t>染料中间体</t>
  </si>
  <si>
    <t>油毡生产设备</t>
  </si>
  <si>
    <t>醋酸丁酯、增塑剂、有机玻璃、磁粉</t>
  </si>
  <si>
    <t>建材工业其他专用设备</t>
  </si>
  <si>
    <t>离子交换、环氧树脂、有机硅</t>
  </si>
  <si>
    <t>（八）</t>
  </si>
  <si>
    <t>纺织工业专用设备</t>
  </si>
  <si>
    <t>氯乙酸、羧、甲基纤维素、硬脂酸</t>
  </si>
  <si>
    <t>棉纺前纺设备</t>
  </si>
  <si>
    <t>醇酸、合成树脂、氧化铁</t>
  </si>
  <si>
    <t>棉纺精纺设备</t>
  </si>
  <si>
    <t>试剂生产装置</t>
  </si>
  <si>
    <t>棉纺加工设备</t>
  </si>
  <si>
    <t>橡胶加工设备</t>
  </si>
  <si>
    <t>织造设备</t>
  </si>
  <si>
    <t>其中：三、四辊压延机</t>
  </si>
  <si>
    <t>纺织空调设备</t>
  </si>
  <si>
    <t>轧胶生产设备</t>
  </si>
  <si>
    <t>染整设备</t>
  </si>
  <si>
    <t>石油化工其他专用设备</t>
  </si>
  <si>
    <t>毛纺后纺设备</t>
  </si>
  <si>
    <t>(五）</t>
  </si>
  <si>
    <t>医药工业专用设备</t>
  </si>
  <si>
    <t>毛纺毛织机设备</t>
  </si>
  <si>
    <t>抗菌素设备</t>
  </si>
  <si>
    <t>毛纺羊毛衫设备</t>
  </si>
  <si>
    <t>其中：发酵罐（碳钢）</t>
  </si>
  <si>
    <t>丝织设备</t>
  </si>
  <si>
    <t xml:space="preserve">      发酵罐（不锈钢）</t>
  </si>
  <si>
    <t>其中：喷水织机</t>
  </si>
  <si>
    <t>医药合成设备</t>
  </si>
  <si>
    <t xml:space="preserve">      针织设备</t>
  </si>
  <si>
    <t>西药制剂设备（水、粉针）</t>
  </si>
  <si>
    <t xml:space="preserve">      内衣设备</t>
  </si>
  <si>
    <t>西药制片设备</t>
  </si>
  <si>
    <t xml:space="preserve">      线带设备</t>
  </si>
  <si>
    <t>中成药专用设备</t>
  </si>
  <si>
    <t xml:space="preserve">      人造纤维设备</t>
  </si>
  <si>
    <t>生产医疗器械专用设备</t>
  </si>
  <si>
    <t xml:space="preserve">      合成纤维设备</t>
  </si>
  <si>
    <t>医药工业其他专用设备</t>
  </si>
  <si>
    <t>其中：湿法纺</t>
  </si>
  <si>
    <t>仪表电讯工业专用设备</t>
  </si>
  <si>
    <t xml:space="preserve">      巢丝设备</t>
  </si>
  <si>
    <t>半导体器件加工专用设备</t>
  </si>
  <si>
    <t xml:space="preserve">      纺织工业其他专用设备</t>
  </si>
  <si>
    <t>电真空器件加工专用设备</t>
  </si>
  <si>
    <t>（九）</t>
  </si>
  <si>
    <t>轻工业专用设备</t>
  </si>
  <si>
    <t>电子器件水汽净化设备</t>
  </si>
  <si>
    <t>造纸</t>
  </si>
  <si>
    <t>专用电子测试仪器设备</t>
  </si>
  <si>
    <t xml:space="preserve">   备料设备</t>
  </si>
  <si>
    <t>电子元件专用设备</t>
  </si>
  <si>
    <t xml:space="preserve">   蒸煮设备</t>
  </si>
  <si>
    <t>光学材料加工专用设备</t>
  </si>
  <si>
    <t xml:space="preserve">   </t>
  </si>
  <si>
    <t xml:space="preserve">   漂白、浆设备</t>
  </si>
  <si>
    <t>电子仪表加工专用设备</t>
  </si>
  <si>
    <t xml:space="preserve">   造纸设备</t>
  </si>
  <si>
    <t>电子仪表零件加工专用设备</t>
  </si>
  <si>
    <t xml:space="preserve">   切割、复卷、完成设备</t>
  </si>
  <si>
    <t>仪表电讯工业其他专用设备</t>
  </si>
  <si>
    <t xml:space="preserve">   碱回收装置</t>
  </si>
  <si>
    <t>（七）</t>
  </si>
  <si>
    <t>建材工业专用设备</t>
  </si>
  <si>
    <t>木材</t>
  </si>
  <si>
    <t>水泥生产设备</t>
  </si>
  <si>
    <t xml:space="preserve">   木工机械</t>
  </si>
  <si>
    <t>14--18</t>
  </si>
  <si>
    <t>其中：回转窑</t>
  </si>
  <si>
    <t xml:space="preserve">   人造板流水线</t>
  </si>
  <si>
    <t xml:space="preserve">      立窑</t>
  </si>
  <si>
    <t xml:space="preserve">   其中：纤维板设备</t>
  </si>
  <si>
    <t>玻璃</t>
  </si>
  <si>
    <t xml:space="preserve">   干烘机</t>
  </si>
  <si>
    <t>其中：玻璃纤维</t>
  </si>
  <si>
    <t>缝纫机专用设备</t>
  </si>
  <si>
    <t>砖瓦、陶瓷</t>
  </si>
  <si>
    <t>自行车专用设备</t>
  </si>
  <si>
    <t>其中：轮窑、隧道窑</t>
  </si>
  <si>
    <t>其中：自动精密机床</t>
  </si>
  <si>
    <t xml:space="preserve">      土窑</t>
  </si>
  <si>
    <t>钟表专用设备</t>
  </si>
  <si>
    <t>石灰</t>
  </si>
  <si>
    <t>其中：自动精密车床</t>
  </si>
  <si>
    <t>其中：石灰窑</t>
  </si>
  <si>
    <t>制皂专用设备</t>
  </si>
  <si>
    <t>其中：皂化设备</t>
  </si>
  <si>
    <t>矿井提升卷扬机</t>
  </si>
  <si>
    <t>食品</t>
  </si>
  <si>
    <t>潜孔钻、牙轮钻</t>
  </si>
  <si>
    <t xml:space="preserve">   糖果、饼干专用设备</t>
  </si>
  <si>
    <t>破碎设备</t>
  </si>
  <si>
    <t xml:space="preserve">   罐头专用设备</t>
  </si>
  <si>
    <t>坑下铲运机</t>
  </si>
  <si>
    <t xml:space="preserve">   卷烟专用设备</t>
  </si>
  <si>
    <t>矿山其他专用设备</t>
  </si>
  <si>
    <t>印刷设备</t>
  </si>
  <si>
    <t>（十一）</t>
  </si>
  <si>
    <t>森林工业专用设备</t>
  </si>
  <si>
    <t>照相机设备</t>
  </si>
  <si>
    <t>营林机械</t>
  </si>
  <si>
    <t>香精、香料合成专用设备</t>
  </si>
  <si>
    <t>采伐机械</t>
  </si>
  <si>
    <t>制笔专用设备</t>
  </si>
  <si>
    <t>木材加工机械</t>
  </si>
  <si>
    <t>皮鞋专用设备</t>
  </si>
  <si>
    <t>森化设备</t>
  </si>
  <si>
    <t>皮件制品专用设备</t>
  </si>
  <si>
    <t>其中：制胶设备</t>
  </si>
  <si>
    <t>合成革制品专用设备</t>
  </si>
  <si>
    <t>卷扬运输设备</t>
  </si>
  <si>
    <t>塑料制品专用设备</t>
  </si>
  <si>
    <t>原木装载机</t>
  </si>
  <si>
    <t>其中：压延、注射设备</t>
  </si>
  <si>
    <t>森林工业其他专用设备</t>
  </si>
  <si>
    <t xml:space="preserve">      挤出、层压及压力机设备</t>
  </si>
  <si>
    <t>（十二）</t>
  </si>
  <si>
    <t>煤炭工业专用设备</t>
  </si>
  <si>
    <t>日用铝制品专用设备</t>
  </si>
  <si>
    <t>综采设备</t>
  </si>
  <si>
    <t>服装制作专用设备</t>
  </si>
  <si>
    <t>其中：液压支架</t>
  </si>
  <si>
    <t>其中：缝纫机</t>
  </si>
  <si>
    <t>采掘机联合掘进机</t>
  </si>
  <si>
    <t>制革专用设备</t>
  </si>
  <si>
    <t xml:space="preserve">   喷淡机</t>
  </si>
  <si>
    <t>其中：制革准备机械</t>
  </si>
  <si>
    <t xml:space="preserve">   装煤机</t>
  </si>
  <si>
    <t xml:space="preserve">      制革湿操作机械</t>
  </si>
  <si>
    <t xml:space="preserve">   载煤机</t>
  </si>
  <si>
    <t>日用化工专用设备</t>
  </si>
  <si>
    <t xml:space="preserve">   掘进载煤机</t>
  </si>
  <si>
    <t xml:space="preserve">   烷基苯（脱氢法）设备</t>
  </si>
  <si>
    <t xml:space="preserve">   穿孔机</t>
  </si>
  <si>
    <t xml:space="preserve">   三聚磁酸钠设备</t>
  </si>
  <si>
    <t>捷运机械</t>
  </si>
  <si>
    <t>制盐</t>
  </si>
  <si>
    <t>排水机械</t>
  </si>
  <si>
    <t xml:space="preserve">   井矿盐及化工专用设备</t>
  </si>
  <si>
    <t>通风机械</t>
  </si>
  <si>
    <t xml:space="preserve">   海、湖盐专用设备</t>
  </si>
  <si>
    <t>洗迁设备</t>
  </si>
  <si>
    <t>胶木制品专用设备</t>
  </si>
  <si>
    <t>煤炭工业其他专用设备</t>
  </si>
  <si>
    <t>制糖</t>
  </si>
  <si>
    <t>（十三）</t>
  </si>
  <si>
    <t>造船工业专用设备</t>
  </si>
  <si>
    <t xml:space="preserve">   压榨机</t>
  </si>
  <si>
    <t>大型吊车</t>
  </si>
  <si>
    <t xml:space="preserve">   连续浸出机</t>
  </si>
  <si>
    <t>浮吊</t>
  </si>
  <si>
    <t xml:space="preserve">   蒸发罐、煮糖罐(钢或不锈钢管)</t>
  </si>
  <si>
    <t>浮船坞</t>
  </si>
  <si>
    <t xml:space="preserve">   蒸发罐、煮糖罐(钢管)</t>
  </si>
  <si>
    <t>造船工业其他专用设备</t>
  </si>
  <si>
    <t xml:space="preserve">   真空吸机</t>
  </si>
  <si>
    <t>（十四）</t>
  </si>
  <si>
    <t>港务专用设备</t>
  </si>
  <si>
    <t xml:space="preserve">   废丝干燥设备</t>
  </si>
  <si>
    <t>装船机械</t>
  </si>
  <si>
    <t xml:space="preserve">   分离机</t>
  </si>
  <si>
    <t>其中：16吨以上流动吊</t>
  </si>
  <si>
    <t>轻工业其他专用设备</t>
  </si>
  <si>
    <t>大型门座式起重机</t>
  </si>
  <si>
    <t>(十）</t>
  </si>
  <si>
    <t>矿山专用设备</t>
  </si>
  <si>
    <t>12～16</t>
  </si>
  <si>
    <t>输送机械</t>
  </si>
  <si>
    <t>挖掘机</t>
  </si>
  <si>
    <t>导航设备</t>
  </si>
  <si>
    <t>准轨电拖车</t>
  </si>
  <si>
    <t>浮船</t>
  </si>
  <si>
    <t>装载机</t>
  </si>
  <si>
    <t>引水船</t>
  </si>
  <si>
    <t>磨矿设备</t>
  </si>
  <si>
    <t>挖泥船</t>
  </si>
  <si>
    <t>港务其他专用设备</t>
  </si>
  <si>
    <t>煤气表</t>
  </si>
  <si>
    <t>（十五）</t>
  </si>
  <si>
    <t>交通运输及邮电专用设备</t>
  </si>
  <si>
    <t>公用事业其他专用设备</t>
  </si>
  <si>
    <t>铁路机车</t>
  </si>
  <si>
    <t>（十八）</t>
  </si>
  <si>
    <t>商业专用设备</t>
  </si>
  <si>
    <t xml:space="preserve">   蒸汽机车</t>
  </si>
  <si>
    <t>立式土油罐</t>
  </si>
  <si>
    <t xml:space="preserve">   内燃机车</t>
  </si>
  <si>
    <t>立式金属油罐</t>
  </si>
  <si>
    <t xml:space="preserve">   电力机车</t>
  </si>
  <si>
    <t>肉联加工和冷冻设备</t>
  </si>
  <si>
    <t>铁路货车</t>
  </si>
  <si>
    <t>酱油、醋、酱、腌菜腐蚀性严重的设备和废旧物资加工设备</t>
  </si>
  <si>
    <t>铁路客车</t>
  </si>
  <si>
    <t>棉花加工设备</t>
  </si>
  <si>
    <t>铁路通信线路和设备通信线路</t>
  </si>
  <si>
    <t>商业其他专用设备</t>
  </si>
  <si>
    <t xml:space="preserve">   通信信号设备</t>
  </si>
  <si>
    <t>（十九）</t>
  </si>
  <si>
    <t>粮食专用设备</t>
  </si>
  <si>
    <t>铁路线路上部建筑（含路基、道渣、轨枕、钢轨、垫板、防爬器、鱼尾板、扩坡等）和铁路线上的桥梁、涵洞、隧道</t>
  </si>
  <si>
    <t>碾米设备</t>
  </si>
  <si>
    <t>飞机</t>
  </si>
  <si>
    <t>制粉设备</t>
  </si>
  <si>
    <t xml:space="preserve">   固定翼飞机</t>
  </si>
  <si>
    <t>制油设备</t>
  </si>
  <si>
    <t xml:space="preserve">   直升飞机</t>
  </si>
  <si>
    <t>油脂浸出设备</t>
  </si>
  <si>
    <t>邮电设备</t>
  </si>
  <si>
    <t>粮食食品设备</t>
  </si>
  <si>
    <t xml:space="preserve">   邮电通信机械设备</t>
  </si>
  <si>
    <t>饲料设备</t>
  </si>
  <si>
    <t xml:space="preserve">     其中：自动出售机</t>
  </si>
  <si>
    <t>粮食加工其他专用设备</t>
  </si>
  <si>
    <t xml:space="preserve">   邮件分拣机</t>
  </si>
  <si>
    <t xml:space="preserve">   包件收寄机</t>
  </si>
  <si>
    <t>（二十）</t>
  </si>
  <si>
    <t>管道</t>
  </si>
  <si>
    <t xml:space="preserve">   长途报话机械设备</t>
  </si>
  <si>
    <t>其中：长距离输油管道</t>
  </si>
  <si>
    <t xml:space="preserve">   市内报话机械设备</t>
  </si>
  <si>
    <t xml:space="preserve">      长距离输气管道</t>
  </si>
  <si>
    <t xml:space="preserve">   自备火车邮箱</t>
  </si>
  <si>
    <t>其他管道</t>
  </si>
  <si>
    <t xml:space="preserve">   邮电电源设备</t>
  </si>
  <si>
    <t>运输船舶</t>
  </si>
  <si>
    <t>水塔</t>
  </si>
  <si>
    <t xml:space="preserve">   机动小艇</t>
  </si>
  <si>
    <t>蓄水池</t>
  </si>
  <si>
    <t xml:space="preserve">   各种驳船、拖轮</t>
  </si>
  <si>
    <t>储油罐、池</t>
  </si>
  <si>
    <t xml:space="preserve">   木质水泥船</t>
  </si>
  <si>
    <t>简易冷藏库</t>
  </si>
  <si>
    <t xml:space="preserve">   木帆船、木质动船</t>
  </si>
  <si>
    <t>交通运输其他专用设备</t>
  </si>
  <si>
    <t>（十六）</t>
  </si>
  <si>
    <t>建筑施工专用设备</t>
  </si>
  <si>
    <t>起重机械</t>
  </si>
  <si>
    <t>挖掘机械</t>
  </si>
  <si>
    <t>土方产运机械</t>
  </si>
  <si>
    <t>凿岩机械</t>
  </si>
  <si>
    <t>基础凿井机械</t>
  </si>
  <si>
    <t>钢筋混凝土机械</t>
  </si>
  <si>
    <t>筑路机械</t>
  </si>
  <si>
    <t>其他施工机械</t>
  </si>
  <si>
    <t>（十七）</t>
  </si>
  <si>
    <t>公用事业专用设备</t>
  </si>
  <si>
    <t>水、油、煤汽炉</t>
  </si>
  <si>
    <t>储气柜（煤气）</t>
  </si>
  <si>
    <t>其中：焊接式储气柜</t>
  </si>
  <si>
    <t>（二十一）</t>
  </si>
  <si>
    <t>家用电器</t>
  </si>
  <si>
    <t>彩色电视机</t>
  </si>
  <si>
    <t>8～10</t>
  </si>
  <si>
    <t>电熨斗</t>
  </si>
  <si>
    <t>黑白电视机</t>
  </si>
  <si>
    <t>10～12</t>
  </si>
  <si>
    <t>电子钟</t>
  </si>
  <si>
    <t>电暖炉</t>
  </si>
  <si>
    <t>电热毯</t>
  </si>
  <si>
    <t>电饭煲</t>
  </si>
  <si>
    <t>电冰箱</t>
  </si>
  <si>
    <t>13～16</t>
  </si>
  <si>
    <t>录象机</t>
  </si>
  <si>
    <t>个人电脑</t>
  </si>
  <si>
    <t>电风扇</t>
  </si>
  <si>
    <t>野外烧烤炉</t>
  </si>
  <si>
    <t>煤气炉</t>
  </si>
  <si>
    <t>电热水器</t>
  </si>
  <si>
    <t>洗衣机</t>
  </si>
  <si>
    <t>电话录音系统</t>
  </si>
  <si>
    <t>电吹风</t>
  </si>
  <si>
    <t>微波炉</t>
  </si>
  <si>
    <t>电动剃须刀</t>
  </si>
  <si>
    <t>吸尘器</t>
  </si>
  <si>
    <r>
      <rPr>
        <b/>
        <sz val="14"/>
        <color theme="1"/>
        <rFont val="宋体"/>
        <charset val="134"/>
      </rPr>
      <t>机器设备安装调试费率参考指标</t>
    </r>
    <r>
      <rPr>
        <b/>
        <sz val="14"/>
        <color theme="1"/>
        <rFont val="Arial"/>
        <charset val="134"/>
      </rPr>
      <t>(</t>
    </r>
    <r>
      <rPr>
        <b/>
        <sz val="14"/>
        <color theme="1"/>
        <rFont val="宋体"/>
        <charset val="134"/>
      </rPr>
      <t>占设备基价的％）</t>
    </r>
    <r>
      <rPr>
        <b/>
        <sz val="14"/>
        <color theme="1"/>
        <rFont val="Arial"/>
        <charset val="134"/>
      </rPr>
      <t xml:space="preserve">                                                                             </t>
    </r>
  </si>
  <si>
    <t>表1-3</t>
  </si>
  <si>
    <t>费率（％）</t>
  </si>
  <si>
    <t xml:space="preserve">轻型通用设备                </t>
  </si>
  <si>
    <t>0.5-1.0</t>
  </si>
  <si>
    <t>0.5- 2.0</t>
  </si>
  <si>
    <t xml:space="preserve">大型机加工设备              </t>
  </si>
  <si>
    <t>1- 4</t>
  </si>
  <si>
    <t xml:space="preserve">数控机床和精密加工机床      </t>
  </si>
  <si>
    <t>2- 4</t>
  </si>
  <si>
    <t xml:space="preserve">铸造设备                    </t>
  </si>
  <si>
    <t>3- 6</t>
  </si>
  <si>
    <t xml:space="preserve">锻造、冲压设备              </t>
  </si>
  <si>
    <t xml:space="preserve">起重设备                    </t>
  </si>
  <si>
    <t>4- 10</t>
  </si>
  <si>
    <t xml:space="preserve">焊接、切割设备              </t>
  </si>
  <si>
    <t xml:space="preserve">泵站设备                   </t>
  </si>
  <si>
    <t>8- 15</t>
  </si>
  <si>
    <t xml:space="preserve">制冷、通风设备              </t>
  </si>
  <si>
    <t xml:space="preserve">集中空调设备                </t>
  </si>
  <si>
    <t>5- 8</t>
  </si>
  <si>
    <t xml:space="preserve">冷却塔                      </t>
  </si>
  <si>
    <t xml:space="preserve">工业炉窑及冶炼设备          </t>
  </si>
  <si>
    <t>10- 20</t>
  </si>
  <si>
    <t xml:space="preserve">电梯                                      </t>
  </si>
  <si>
    <t xml:space="preserve">变、配电设备                              </t>
  </si>
  <si>
    <t xml:space="preserve">电气设备                                  </t>
  </si>
  <si>
    <t>6- 12</t>
  </si>
  <si>
    <t xml:space="preserve">气体压缩机                                </t>
  </si>
  <si>
    <t>8- 14</t>
  </si>
  <si>
    <t xml:space="preserve">检测、试验设备                            </t>
  </si>
  <si>
    <t>快装锅炉(以锅炉主机价计算）</t>
  </si>
  <si>
    <t>蒸汽锅炉(10吨／时及以下）(以锅炉主机价计算）</t>
  </si>
  <si>
    <t>35- 45</t>
  </si>
  <si>
    <t>蒸汽锅炉(10吨／时及以上）(以锅炉主机价计算）</t>
  </si>
  <si>
    <t>30- 40</t>
  </si>
  <si>
    <t xml:space="preserve">热水锅炉                                    </t>
  </si>
  <si>
    <t>25- 30</t>
  </si>
  <si>
    <t xml:space="preserve">电镀、镀装设备                              </t>
  </si>
  <si>
    <t>5- 12</t>
  </si>
  <si>
    <t xml:space="preserve">热处理设备                                  </t>
  </si>
  <si>
    <t>2- 5</t>
  </si>
  <si>
    <t xml:space="preserve">化工工业专用设备                          </t>
  </si>
  <si>
    <t>6- 25</t>
  </si>
  <si>
    <t>设备、工器具运杂费费率表</t>
  </si>
  <si>
    <t>运输里程</t>
  </si>
  <si>
    <t>取费基础</t>
  </si>
  <si>
    <t>费率%</t>
  </si>
  <si>
    <t>100km以内</t>
  </si>
  <si>
    <t>设备原价</t>
  </si>
  <si>
    <t>200km以内</t>
  </si>
  <si>
    <t>300km以内</t>
  </si>
  <si>
    <t>400km以内</t>
  </si>
  <si>
    <t>500km以内</t>
  </si>
  <si>
    <t>750km以内</t>
  </si>
  <si>
    <t>1000km以内</t>
  </si>
  <si>
    <t>1250km以内</t>
  </si>
  <si>
    <t>1500km以内</t>
  </si>
  <si>
    <t>1750km以内</t>
  </si>
  <si>
    <t>2000km以内</t>
  </si>
  <si>
    <t>2000km以上每增250KM增加</t>
  </si>
  <si>
    <t>注：</t>
  </si>
  <si>
    <r>
      <rPr>
        <sz val="12"/>
        <color theme="1"/>
        <rFont val="Arial Narrow"/>
        <charset val="134"/>
      </rPr>
      <t xml:space="preserve">1. </t>
    </r>
    <r>
      <rPr>
        <sz val="12"/>
        <color theme="1"/>
        <rFont val="宋体"/>
        <charset val="134"/>
      </rPr>
      <t>根据设备单价的大小及其体积重量及所处地区交通条件选定具体费率。单价高、体积小、重量轻、交通方便地区的取低值，反之取高值。</t>
    </r>
  </si>
  <si>
    <r>
      <rPr>
        <sz val="12"/>
        <color theme="1"/>
        <rFont val="Arial Narrow"/>
        <charset val="134"/>
      </rPr>
      <t xml:space="preserve">2. </t>
    </r>
    <r>
      <rPr>
        <sz val="12"/>
        <color theme="1"/>
        <rFont val="宋体"/>
        <charset val="134"/>
      </rPr>
      <t>进口设备一般价格较贵，到岸后的国内运杂费率通常不取高值。</t>
    </r>
  </si>
  <si>
    <r>
      <rPr>
        <sz val="12"/>
        <color theme="1"/>
        <rFont val="Arial Narrow"/>
        <charset val="134"/>
      </rPr>
      <t xml:space="preserve">3. </t>
    </r>
    <r>
      <rPr>
        <sz val="12"/>
        <color theme="1"/>
        <rFont val="宋体"/>
        <charset val="134"/>
      </rPr>
      <t>特殊情况或用空运等可按实估算。</t>
    </r>
  </si>
  <si>
    <r>
      <rPr>
        <sz val="12"/>
        <color theme="1"/>
        <rFont val="Arial Narrow"/>
        <charset val="134"/>
      </rPr>
      <t xml:space="preserve">4. </t>
    </r>
    <r>
      <rPr>
        <sz val="12"/>
        <color rgb="FF0000FF"/>
        <rFont val="宋体"/>
        <charset val="134"/>
      </rPr>
      <t>国内运杂费是指从产地包装上车后到设备落地的运费、下力费、保险费等。</t>
    </r>
  </si>
  <si>
    <r>
      <rPr>
        <sz val="12"/>
        <color theme="1"/>
        <rFont val="宋体"/>
        <charset val="134"/>
      </rPr>
      <t>以下参考</t>
    </r>
  </si>
  <si>
    <t>公路货物运价/装卸费表</t>
  </si>
  <si>
    <t> 单位：（元/吨·公里）</t>
  </si>
  <si>
    <r>
      <rPr>
        <sz val="12"/>
        <color theme="1"/>
        <rFont val="宋体"/>
        <charset val="134"/>
      </rPr>
      <t>货物分类</t>
    </r>
  </si>
  <si>
    <t>一类货物</t>
  </si>
  <si>
    <t>二类货物</t>
  </si>
  <si>
    <t>特种货物</t>
  </si>
  <si>
    <t>运价（元/吨·公里）</t>
  </si>
  <si>
    <t>装（元/吨）</t>
  </si>
  <si>
    <t>卸（元/吨）</t>
  </si>
  <si>
    <t>装-卸合计（元/吨）</t>
  </si>
  <si>
    <t>砂、片石、渣(碎)石、寸石、石屑、砾石、卵石、土等；</t>
  </si>
  <si>
    <t>钢材、沥青、木材、柴草、砖、瓦、块石（料石）、生石灰、煤、泥、水泥、矿粉、粉煤灰、水泥制品等；</t>
  </si>
  <si>
    <t>橡胶制品、交电器材、机器设备、装饰石料、瓷砖、玻璃等、反光玻璃珠、底油、环氧树脂等；</t>
  </si>
  <si>
    <t>爆炸物品，汽柴油、重油、长大笨重货物。</t>
  </si>
  <si>
    <t>注：二等货物中块石、生石灰、煤、粉煤灰、泥等不计卸费。</t>
  </si>
  <si>
    <r>
      <rPr>
        <sz val="12"/>
        <color theme="1"/>
        <rFont val="Arial Narrow"/>
        <charset val="134"/>
      </rPr>
      <t xml:space="preserve">3.1  </t>
    </r>
    <r>
      <rPr>
        <sz val="12"/>
        <color theme="1"/>
        <rFont val="宋体"/>
        <charset val="134"/>
      </rPr>
      <t>使用说明</t>
    </r>
  </si>
  <si>
    <r>
      <rPr>
        <sz val="12"/>
        <color theme="1"/>
        <rFont val="Arial Narrow"/>
        <charset val="134"/>
      </rPr>
      <t xml:space="preserve">3.1.1  </t>
    </r>
    <r>
      <rPr>
        <sz val="12"/>
        <color theme="1"/>
        <rFont val="宋体"/>
        <charset val="134"/>
      </rPr>
      <t>指标内容</t>
    </r>
  </si>
  <si>
    <t>本指标中设备基础的工程内容不包括下列部分内容：</t>
  </si>
  <si>
    <r>
      <rPr>
        <sz val="12"/>
        <color theme="1"/>
        <rFont val="Arial Narrow"/>
        <charset val="134"/>
      </rPr>
      <t>a</t>
    </r>
    <r>
      <rPr>
        <sz val="12"/>
        <color theme="1"/>
        <rFont val="宋体"/>
        <charset val="134"/>
      </rPr>
      <t>）本规程表</t>
    </r>
    <r>
      <rPr>
        <sz val="12"/>
        <color theme="1"/>
        <rFont val="Arial Narrow"/>
        <charset val="134"/>
      </rPr>
      <t>1</t>
    </r>
    <r>
      <rPr>
        <sz val="12"/>
        <color theme="1"/>
        <rFont val="宋体"/>
        <charset val="134"/>
      </rPr>
      <t>《设备基础与构筑物划分表》中列入构筑物范围的部分。</t>
    </r>
  </si>
  <si>
    <r>
      <rPr>
        <sz val="12"/>
        <color theme="1"/>
        <rFont val="Arial Narrow"/>
        <charset val="134"/>
      </rPr>
      <t>B</t>
    </r>
    <r>
      <rPr>
        <sz val="12"/>
        <color theme="1"/>
        <rFont val="宋体"/>
        <charset val="134"/>
      </rPr>
      <t>）设备基础地基的特殊处理，如打桩、</t>
    </r>
    <r>
      <rPr>
        <sz val="12"/>
        <color rgb="FF0000FF"/>
        <rFont val="宋体"/>
        <charset val="134"/>
      </rPr>
      <t>化学处理</t>
    </r>
    <r>
      <rPr>
        <sz val="12"/>
        <color theme="1"/>
        <rFont val="宋体"/>
        <charset val="134"/>
      </rPr>
      <t>等。</t>
    </r>
  </si>
  <si>
    <r>
      <rPr>
        <sz val="12"/>
        <color theme="1"/>
        <rFont val="Arial Narrow"/>
        <charset val="134"/>
      </rPr>
      <t xml:space="preserve">3.1.2  </t>
    </r>
    <r>
      <rPr>
        <sz val="12"/>
        <color theme="1"/>
        <rFont val="宋体"/>
        <charset val="134"/>
      </rPr>
      <t>设备基础费的费用内容应包括：人工费、材料费、机械费及全部取费。</t>
    </r>
  </si>
  <si>
    <t>计算方法：</t>
  </si>
  <si>
    <t>设备基础费应按下列公式计算：</t>
  </si>
  <si>
    <r>
      <rPr>
        <sz val="12"/>
        <color theme="1"/>
        <rFont val="宋体"/>
        <charset val="134"/>
      </rPr>
      <t>设备基础费＝设备原价</t>
    </r>
    <r>
      <rPr>
        <sz val="12"/>
        <color theme="1"/>
        <rFont val="Arial Narrow"/>
        <charset val="134"/>
      </rPr>
      <t>×</t>
    </r>
    <r>
      <rPr>
        <sz val="12"/>
        <color theme="1"/>
        <rFont val="宋体"/>
        <charset val="134"/>
      </rPr>
      <t>设备基础费率</t>
    </r>
  </si>
  <si>
    <r>
      <rPr>
        <sz val="12"/>
        <color theme="1"/>
        <rFont val="Arial Narrow"/>
        <charset val="134"/>
      </rPr>
      <t xml:space="preserve">3.1.3  </t>
    </r>
    <r>
      <rPr>
        <sz val="12"/>
        <color theme="1"/>
        <rFont val="宋体"/>
        <charset val="134"/>
      </rPr>
      <t>其他有关说明</t>
    </r>
  </si>
  <si>
    <r>
      <rPr>
        <sz val="12"/>
        <color theme="1"/>
        <rFont val="Arial Narrow"/>
        <charset val="134"/>
      </rPr>
      <t xml:space="preserve">3.1.3.1  </t>
    </r>
    <r>
      <rPr>
        <sz val="12"/>
        <color theme="1"/>
        <rFont val="宋体"/>
        <charset val="134"/>
      </rPr>
      <t>铸钢车间、铸铁车间的设备原价仅指工艺设备价格，不包括机械化设备价格在内。</t>
    </r>
  </si>
  <si>
    <r>
      <rPr>
        <sz val="12"/>
        <color theme="1"/>
        <rFont val="Arial Narrow"/>
        <charset val="134"/>
      </rPr>
      <t xml:space="preserve">3.1.3.2  </t>
    </r>
    <r>
      <rPr>
        <sz val="12"/>
        <color theme="1"/>
        <rFont val="宋体"/>
        <charset val="134"/>
      </rPr>
      <t>本规程表</t>
    </r>
    <r>
      <rPr>
        <sz val="12"/>
        <color theme="1"/>
        <rFont val="Arial Narrow"/>
        <charset val="134"/>
      </rPr>
      <t>1</t>
    </r>
    <r>
      <rPr>
        <sz val="12"/>
        <color theme="1"/>
        <rFont val="宋体"/>
        <charset val="134"/>
      </rPr>
      <t>中列入构筑物的部分均需单独提出资料，另行计算其费用。对需要特殊处理地基的设备基础，如打桩、</t>
    </r>
    <r>
      <rPr>
        <sz val="12"/>
        <color rgb="FF0000FF"/>
        <rFont val="宋体"/>
        <charset val="134"/>
      </rPr>
      <t>化学处理</t>
    </r>
    <r>
      <rPr>
        <sz val="12"/>
        <color theme="1"/>
        <rFont val="宋体"/>
        <charset val="134"/>
      </rPr>
      <t>处理等，其处理的费用指标内不包括，应单独计算。</t>
    </r>
  </si>
  <si>
    <r>
      <rPr>
        <sz val="12"/>
        <color theme="1"/>
        <rFont val="Arial Narrow"/>
        <charset val="134"/>
      </rPr>
      <t xml:space="preserve">3.1.3.3  </t>
    </r>
    <r>
      <rPr>
        <sz val="12"/>
        <color theme="1"/>
        <rFont val="宋体"/>
        <charset val="134"/>
      </rPr>
      <t>各行业所特有的车间设备基础指标，应根据设计单位测算确定。</t>
    </r>
  </si>
  <si>
    <r>
      <rPr>
        <sz val="12"/>
        <color theme="1"/>
        <rFont val="Arial Narrow"/>
        <charset val="134"/>
      </rPr>
      <t xml:space="preserve">3.2  </t>
    </r>
    <r>
      <rPr>
        <sz val="12"/>
        <color theme="1"/>
        <rFont val="宋体"/>
        <charset val="134"/>
      </rPr>
      <t>设备基础费概算指标</t>
    </r>
  </si>
  <si>
    <r>
      <rPr>
        <sz val="12"/>
        <color theme="1"/>
        <rFont val="Arial Narrow"/>
        <charset val="134"/>
      </rPr>
      <t xml:space="preserve">3.2.1  </t>
    </r>
    <r>
      <rPr>
        <sz val="12"/>
        <color theme="1"/>
        <rFont val="宋体"/>
        <charset val="134"/>
      </rPr>
      <t>国内设备基础费概算指标</t>
    </r>
  </si>
  <si>
    <r>
      <rPr>
        <sz val="12"/>
        <color theme="1"/>
        <rFont val="宋体"/>
        <charset val="134"/>
      </rPr>
      <t>详见本规程表</t>
    </r>
    <r>
      <rPr>
        <sz val="12"/>
        <color theme="1"/>
        <rFont val="Arial Narrow"/>
        <charset val="134"/>
      </rPr>
      <t>2</t>
    </r>
    <r>
      <rPr>
        <sz val="12"/>
        <color theme="1"/>
        <rFont val="宋体"/>
        <charset val="134"/>
      </rPr>
      <t>设备基础费概算指标。</t>
    </r>
  </si>
  <si>
    <r>
      <rPr>
        <sz val="12"/>
        <color theme="1"/>
        <rFont val="宋体"/>
        <charset val="134"/>
      </rPr>
      <t>表</t>
    </r>
    <r>
      <rPr>
        <sz val="12"/>
        <color theme="1"/>
        <rFont val="Arial Narrow"/>
        <charset val="134"/>
      </rPr>
      <t xml:space="preserve">1 </t>
    </r>
    <r>
      <rPr>
        <sz val="12"/>
        <color theme="1"/>
        <rFont val="宋体"/>
        <charset val="134"/>
      </rPr>
      <t>设备基础与构筑物划分表</t>
    </r>
  </si>
  <si>
    <t>车间名称</t>
  </si>
  <si>
    <t>构筑物范围</t>
  </si>
  <si>
    <t>设备基础范围</t>
  </si>
  <si>
    <t>铸钢车间</t>
  </si>
  <si>
    <t>砂处理系统（包括混砂机），各类造型线，各种平台，落砂机基础，造型地坑，炉料坑，铸锭坑，钢锭缓冷坑，修包坑，浇冒口切割坑，水力清砂系统，水爆清砂系统，各种燃油、煤、气的工业炉基础，各种地沟等</t>
  </si>
  <si>
    <t>电弧炉、工频、中频感应电炉、单台混砂机，各类制芯机，造型机（不成线），各类清理滚筒，喷丸清理设备，喷抛清理设备，抛砂机及电加热用工业炉等的基础</t>
  </si>
  <si>
    <t>铸铁车间</t>
  </si>
  <si>
    <t>砂处理系统（包括混砂机），各类造型线，各种平台，落砂机基础，造型地坑，炉料坑，炉渣粒化池，水力清砂系统，水爆清砂系统，各种燃油、煤、气的工业炉基础，各种地沟等。</t>
  </si>
  <si>
    <t>冲天炉，工频、中频感应电炉，单台混砂机，各类制芯机，造型机（不成线），各类清理滚筒，喷丸清理设备，喷抛清理设备，抛砂机及电加热用工业炉等的基础</t>
  </si>
  <si>
    <t>精密铸造车间</t>
  </si>
  <si>
    <t>各种地沟等</t>
  </si>
  <si>
    <t>其余的划入设备基础范围</t>
  </si>
  <si>
    <t>有色铸造车间</t>
  </si>
  <si>
    <t>锻造车间</t>
  </si>
  <si>
    <t>各种燃料加热的工业炉基础，各种地沟等</t>
  </si>
  <si>
    <t>热处理车间</t>
  </si>
  <si>
    <t>各种燃料加热的工业炉基础，井式炉地坑，各种水、油槽地坑地沟，室外循环油、水槽地坑，室外贮油罐地坑等。</t>
  </si>
  <si>
    <t>箱式电阻炉，电极式盐浴炉，高、中频加热设备等的电加热设备基础，各种校直设备，淬火机床，清理设备，其他辅助设备等的基础</t>
  </si>
  <si>
    <t>电镀车间</t>
  </si>
  <si>
    <t>机械加工车间</t>
  </si>
  <si>
    <t>各种地沟，翻身坑等</t>
  </si>
  <si>
    <t>焊接冷作车间（金属结构车间）</t>
  </si>
  <si>
    <t>冲压车间</t>
  </si>
  <si>
    <t>油漆车间</t>
  </si>
  <si>
    <t>动力地沟等</t>
  </si>
  <si>
    <t>装配车间</t>
  </si>
  <si>
    <t>机修车间</t>
  </si>
  <si>
    <t>地沟等</t>
  </si>
  <si>
    <t>工具车间</t>
  </si>
  <si>
    <t>中央试验室、计量室</t>
  </si>
  <si>
    <t>基本上都划入设备基础范围</t>
  </si>
  <si>
    <r>
      <rPr>
        <sz val="12"/>
        <color theme="1"/>
        <rFont val="宋体"/>
        <charset val="134"/>
      </rPr>
      <t>表</t>
    </r>
    <r>
      <rPr>
        <sz val="12"/>
        <color theme="1"/>
        <rFont val="Arial Narrow"/>
        <charset val="134"/>
      </rPr>
      <t xml:space="preserve">2   </t>
    </r>
    <r>
      <rPr>
        <sz val="12"/>
        <color theme="1"/>
        <rFont val="宋体"/>
        <charset val="134"/>
      </rPr>
      <t>设备基础费概算指标</t>
    </r>
  </si>
  <si>
    <t>车间或项目名称</t>
  </si>
  <si>
    <r>
      <rPr>
        <sz val="11"/>
        <color theme="1"/>
        <rFont val="宋体"/>
        <charset val="134"/>
      </rPr>
      <t>设备基础费率（</t>
    </r>
    <r>
      <rPr>
        <sz val="11"/>
        <color theme="1"/>
        <rFont val="Arial Narrow"/>
        <charset val="134"/>
      </rPr>
      <t>%</t>
    </r>
    <r>
      <rPr>
        <sz val="11"/>
        <color theme="1"/>
        <rFont val="宋体"/>
        <charset val="134"/>
      </rPr>
      <t>）</t>
    </r>
  </si>
  <si>
    <r>
      <rPr>
        <sz val="11"/>
        <color theme="1"/>
        <rFont val="Arial Narrow"/>
        <charset val="134"/>
      </rPr>
      <t>1.4</t>
    </r>
    <r>
      <rPr>
        <sz val="11"/>
        <color theme="1"/>
        <rFont val="宋体"/>
        <charset val="134"/>
      </rPr>
      <t>～</t>
    </r>
    <r>
      <rPr>
        <sz val="11"/>
        <color theme="1"/>
        <rFont val="Arial Narrow"/>
        <charset val="134"/>
      </rPr>
      <t>3.4</t>
    </r>
  </si>
  <si>
    <t>重、大型设备较多的取上限</t>
  </si>
  <si>
    <t>1.4～3.4</t>
  </si>
  <si>
    <t>固定式装配车间</t>
  </si>
  <si>
    <t>0.8～1.4</t>
  </si>
  <si>
    <r>
      <rPr>
        <sz val="11"/>
        <color theme="1"/>
        <rFont val="Arial Narrow"/>
        <charset val="134"/>
      </rPr>
      <t>a</t>
    </r>
    <r>
      <rPr>
        <sz val="11"/>
        <color theme="1"/>
        <rFont val="宋体"/>
        <charset val="134"/>
      </rPr>
      <t>）固定式装配</t>
    </r>
  </si>
  <si>
    <r>
      <rPr>
        <sz val="11"/>
        <color theme="1"/>
        <rFont val="Arial Narrow"/>
        <charset val="134"/>
      </rPr>
      <t>0.8</t>
    </r>
    <r>
      <rPr>
        <sz val="11"/>
        <color theme="1"/>
        <rFont val="宋体"/>
        <charset val="134"/>
      </rPr>
      <t>～</t>
    </r>
    <r>
      <rPr>
        <sz val="11"/>
        <color theme="1"/>
        <rFont val="Arial Narrow"/>
        <charset val="134"/>
      </rPr>
      <t>1.4</t>
    </r>
  </si>
  <si>
    <t>流水线装配车间地坑（沟）&lt;1m</t>
  </si>
  <si>
    <t>3.0～5.0</t>
  </si>
  <si>
    <r>
      <rPr>
        <sz val="11"/>
        <color theme="1"/>
        <rFont val="Arial Narrow"/>
        <charset val="134"/>
      </rPr>
      <t>b</t>
    </r>
    <r>
      <rPr>
        <sz val="11"/>
        <color theme="1"/>
        <rFont val="宋体"/>
        <charset val="134"/>
      </rPr>
      <t>）流水线装配</t>
    </r>
  </si>
  <si>
    <t>5.0～7.0</t>
  </si>
  <si>
    <r>
      <rPr>
        <sz val="11"/>
        <color theme="1"/>
        <rFont val="宋体"/>
        <charset val="134"/>
      </rPr>
      <t>地坑（沟）</t>
    </r>
    <r>
      <rPr>
        <sz val="11"/>
        <color theme="1"/>
        <rFont val="Arial Narrow"/>
        <charset val="134"/>
      </rPr>
      <t>&lt;1m</t>
    </r>
    <r>
      <rPr>
        <sz val="11"/>
        <color theme="1"/>
        <rFont val="宋体"/>
        <charset val="134"/>
      </rPr>
      <t>（包括无地沟装配线）</t>
    </r>
  </si>
  <si>
    <r>
      <rPr>
        <sz val="11"/>
        <color theme="1"/>
        <rFont val="Arial Narrow"/>
        <charset val="134"/>
      </rPr>
      <t>3.0</t>
    </r>
    <r>
      <rPr>
        <sz val="11"/>
        <color theme="1"/>
        <rFont val="宋体"/>
        <charset val="134"/>
      </rPr>
      <t>～</t>
    </r>
    <r>
      <rPr>
        <sz val="11"/>
        <color theme="1"/>
        <rFont val="Arial Narrow"/>
        <charset val="134"/>
      </rPr>
      <t>5.0</t>
    </r>
  </si>
  <si>
    <t>焊接、冷作车间（金属结构车间）</t>
  </si>
  <si>
    <t>1.5～2.8</t>
  </si>
  <si>
    <r>
      <rPr>
        <sz val="11"/>
        <color theme="1"/>
        <rFont val="宋体"/>
        <charset val="134"/>
      </rPr>
      <t>地坑</t>
    </r>
    <r>
      <rPr>
        <sz val="11"/>
        <color theme="1"/>
        <rFont val="Arial Narrow"/>
        <charset val="134"/>
      </rPr>
      <t>&gt;1m</t>
    </r>
  </si>
  <si>
    <r>
      <rPr>
        <sz val="11"/>
        <color theme="1"/>
        <rFont val="Arial Narrow"/>
        <charset val="134"/>
      </rPr>
      <t>5.0</t>
    </r>
    <r>
      <rPr>
        <sz val="11"/>
        <color theme="1"/>
        <rFont val="宋体"/>
        <charset val="134"/>
      </rPr>
      <t>～</t>
    </r>
    <r>
      <rPr>
        <sz val="11"/>
        <color theme="1"/>
        <rFont val="Arial Narrow"/>
        <charset val="134"/>
      </rPr>
      <t>7.0</t>
    </r>
  </si>
  <si>
    <t>小型设备为主冲压车间</t>
  </si>
  <si>
    <t>0.8～1.3</t>
  </si>
  <si>
    <r>
      <rPr>
        <sz val="11"/>
        <color theme="1"/>
        <rFont val="Arial Narrow"/>
        <charset val="134"/>
      </rPr>
      <t>1.5</t>
    </r>
    <r>
      <rPr>
        <sz val="11"/>
        <color theme="1"/>
        <rFont val="宋体"/>
        <charset val="134"/>
      </rPr>
      <t>～</t>
    </r>
    <r>
      <rPr>
        <sz val="11"/>
        <color theme="1"/>
        <rFont val="Arial Narrow"/>
        <charset val="134"/>
      </rPr>
      <t>2.8</t>
    </r>
  </si>
  <si>
    <t>大型设备为主冲压车间</t>
  </si>
  <si>
    <t>1.3～3.0</t>
  </si>
  <si>
    <t>带形基础的取上限</t>
  </si>
  <si>
    <t>大型车间油漆车间</t>
  </si>
  <si>
    <t>8.0～12.0</t>
  </si>
  <si>
    <t>小型设备为主</t>
  </si>
  <si>
    <r>
      <rPr>
        <sz val="11"/>
        <color theme="1"/>
        <rFont val="Arial Narrow"/>
        <charset val="134"/>
      </rPr>
      <t>0.8</t>
    </r>
    <r>
      <rPr>
        <sz val="11"/>
        <color theme="1"/>
        <rFont val="宋体"/>
        <charset val="134"/>
      </rPr>
      <t>～</t>
    </r>
    <r>
      <rPr>
        <sz val="11"/>
        <color theme="1"/>
        <rFont val="Arial Narrow"/>
        <charset val="134"/>
      </rPr>
      <t>1.3</t>
    </r>
  </si>
  <si>
    <t>小型车间油漆车间</t>
  </si>
  <si>
    <t>2.0～4.0</t>
  </si>
  <si>
    <t>大型设备为主</t>
  </si>
  <si>
    <r>
      <rPr>
        <sz val="11"/>
        <color theme="1"/>
        <rFont val="Arial Narrow"/>
        <charset val="134"/>
      </rPr>
      <t>1.3</t>
    </r>
    <r>
      <rPr>
        <sz val="11"/>
        <color theme="1"/>
        <rFont val="宋体"/>
        <charset val="134"/>
      </rPr>
      <t>～</t>
    </r>
    <r>
      <rPr>
        <sz val="11"/>
        <color theme="1"/>
        <rFont val="Arial Narrow"/>
        <charset val="134"/>
      </rPr>
      <t>3.0</t>
    </r>
  </si>
  <si>
    <t>0.7～1.1</t>
  </si>
  <si>
    <t>产品等级高，有喷抛丸设备的车间取上限</t>
  </si>
  <si>
    <t>0.8～1.2</t>
  </si>
  <si>
    <t>大型车间</t>
  </si>
  <si>
    <r>
      <rPr>
        <sz val="11"/>
        <color theme="1"/>
        <rFont val="Arial Narrow"/>
        <charset val="134"/>
      </rPr>
      <t>8.0</t>
    </r>
    <r>
      <rPr>
        <sz val="11"/>
        <color theme="1"/>
        <rFont val="宋体"/>
        <charset val="134"/>
      </rPr>
      <t>～</t>
    </r>
    <r>
      <rPr>
        <sz val="11"/>
        <color theme="1"/>
        <rFont val="Arial Narrow"/>
        <charset val="134"/>
      </rPr>
      <t>12.0</t>
    </r>
  </si>
  <si>
    <t>以热模锻为主锻造车间</t>
  </si>
  <si>
    <t>4.0～6.0</t>
  </si>
  <si>
    <t>小型车间</t>
  </si>
  <si>
    <r>
      <rPr>
        <sz val="11"/>
        <color theme="1"/>
        <rFont val="Arial Narrow"/>
        <charset val="134"/>
      </rPr>
      <t>2.0</t>
    </r>
    <r>
      <rPr>
        <sz val="11"/>
        <color theme="1"/>
        <rFont val="宋体"/>
        <charset val="134"/>
      </rPr>
      <t>～</t>
    </r>
    <r>
      <rPr>
        <sz val="11"/>
        <color theme="1"/>
        <rFont val="Arial Narrow"/>
        <charset val="134"/>
      </rPr>
      <t>4.0</t>
    </r>
  </si>
  <si>
    <t>以锻锤为主锻造车间</t>
  </si>
  <si>
    <t>12.0～17.0</t>
  </si>
  <si>
    <r>
      <rPr>
        <sz val="11"/>
        <color theme="1"/>
        <rFont val="Arial Narrow"/>
        <charset val="134"/>
      </rPr>
      <t>0.7</t>
    </r>
    <r>
      <rPr>
        <sz val="11"/>
        <color theme="1"/>
        <rFont val="宋体"/>
        <charset val="134"/>
      </rPr>
      <t>～</t>
    </r>
    <r>
      <rPr>
        <sz val="11"/>
        <color theme="1"/>
        <rFont val="Arial Narrow"/>
        <charset val="134"/>
      </rPr>
      <t>1.1</t>
    </r>
  </si>
  <si>
    <t>产品等级高车间规模大的车间取上限</t>
  </si>
  <si>
    <t>2.8～4.3</t>
  </si>
  <si>
    <r>
      <rPr>
        <sz val="11"/>
        <color theme="1"/>
        <rFont val="Arial Narrow"/>
        <charset val="134"/>
      </rPr>
      <t>0.8</t>
    </r>
    <r>
      <rPr>
        <sz val="11"/>
        <color theme="1"/>
        <rFont val="宋体"/>
        <charset val="134"/>
      </rPr>
      <t>～</t>
    </r>
    <r>
      <rPr>
        <sz val="11"/>
        <color theme="1"/>
        <rFont val="Arial Narrow"/>
        <charset val="134"/>
      </rPr>
      <t>1.2</t>
    </r>
  </si>
  <si>
    <t>2.0～3.5</t>
  </si>
  <si>
    <t>2.5～3.5</t>
  </si>
  <si>
    <t>以热模锻为主</t>
  </si>
  <si>
    <r>
      <rPr>
        <sz val="11"/>
        <color theme="1"/>
        <rFont val="Arial Narrow"/>
        <charset val="134"/>
      </rPr>
      <t>4.0</t>
    </r>
    <r>
      <rPr>
        <sz val="11"/>
        <color theme="1"/>
        <rFont val="宋体"/>
        <charset val="134"/>
      </rPr>
      <t>～</t>
    </r>
    <r>
      <rPr>
        <sz val="11"/>
        <color theme="1"/>
        <rFont val="Arial Narrow"/>
        <charset val="134"/>
      </rPr>
      <t>6.0</t>
    </r>
  </si>
  <si>
    <t>大批量、流水线的取下限</t>
  </si>
  <si>
    <t>1.5～2.5</t>
  </si>
  <si>
    <t>以锻锤为主</t>
  </si>
  <si>
    <r>
      <rPr>
        <sz val="11"/>
        <color theme="1"/>
        <rFont val="Arial Narrow"/>
        <charset val="134"/>
      </rPr>
      <t>12.0</t>
    </r>
    <r>
      <rPr>
        <sz val="11"/>
        <color theme="1"/>
        <rFont val="宋体"/>
        <charset val="134"/>
      </rPr>
      <t>～</t>
    </r>
    <r>
      <rPr>
        <sz val="11"/>
        <color theme="1"/>
        <rFont val="Arial Narrow"/>
        <charset val="134"/>
      </rPr>
      <t>17.0</t>
    </r>
  </si>
  <si>
    <t>空气锤为主的取上限</t>
  </si>
  <si>
    <t>1.5～2.0</t>
  </si>
  <si>
    <r>
      <rPr>
        <sz val="11"/>
        <color theme="1"/>
        <rFont val="Arial Narrow"/>
        <charset val="134"/>
      </rPr>
      <t>2.8</t>
    </r>
    <r>
      <rPr>
        <sz val="11"/>
        <color theme="1"/>
        <rFont val="宋体"/>
        <charset val="134"/>
      </rPr>
      <t>～</t>
    </r>
    <r>
      <rPr>
        <sz val="11"/>
        <color theme="1"/>
        <rFont val="Arial Narrow"/>
        <charset val="134"/>
      </rPr>
      <t>4.3</t>
    </r>
  </si>
  <si>
    <t>机械化程度低的取上限</t>
  </si>
  <si>
    <t>工模具车间</t>
  </si>
  <si>
    <r>
      <rPr>
        <sz val="11"/>
        <color theme="1"/>
        <rFont val="Arial Narrow"/>
        <charset val="134"/>
      </rPr>
      <t>2.0</t>
    </r>
    <r>
      <rPr>
        <sz val="11"/>
        <color theme="1"/>
        <rFont val="宋体"/>
        <charset val="134"/>
      </rPr>
      <t>～</t>
    </r>
    <r>
      <rPr>
        <sz val="11"/>
        <color theme="1"/>
        <rFont val="Arial Narrow"/>
        <charset val="134"/>
      </rPr>
      <t>3.5</t>
    </r>
  </si>
  <si>
    <r>
      <rPr>
        <sz val="11"/>
        <color theme="1"/>
        <rFont val="Arial Narrow"/>
        <charset val="134"/>
      </rPr>
      <t>2.5</t>
    </r>
    <r>
      <rPr>
        <sz val="11"/>
        <color theme="1"/>
        <rFont val="宋体"/>
        <charset val="134"/>
      </rPr>
      <t>～</t>
    </r>
    <r>
      <rPr>
        <sz val="11"/>
        <color theme="1"/>
        <rFont val="Arial Narrow"/>
        <charset val="134"/>
      </rPr>
      <t>3.5</t>
    </r>
  </si>
  <si>
    <t>有一定机械化程度的取上限</t>
  </si>
  <si>
    <r>
      <rPr>
        <sz val="11"/>
        <color theme="1"/>
        <rFont val="Arial Narrow"/>
        <charset val="134"/>
      </rPr>
      <t>1.5</t>
    </r>
    <r>
      <rPr>
        <sz val="11"/>
        <color theme="1"/>
        <rFont val="宋体"/>
        <charset val="134"/>
      </rPr>
      <t>～</t>
    </r>
    <r>
      <rPr>
        <sz val="11"/>
        <color theme="1"/>
        <rFont val="Arial Narrow"/>
        <charset val="134"/>
      </rPr>
      <t>2.5</t>
    </r>
  </si>
  <si>
    <t>压铸车间取下限</t>
  </si>
  <si>
    <r>
      <rPr>
        <sz val="11"/>
        <color theme="1"/>
        <rFont val="Arial Narrow"/>
        <charset val="134"/>
      </rPr>
      <t>1.5</t>
    </r>
    <r>
      <rPr>
        <sz val="11"/>
        <color theme="1"/>
        <rFont val="宋体"/>
        <charset val="134"/>
      </rPr>
      <t>～</t>
    </r>
    <r>
      <rPr>
        <sz val="11"/>
        <color theme="1"/>
        <rFont val="Arial Narrow"/>
        <charset val="134"/>
      </rPr>
      <t>2.0</t>
    </r>
  </si>
  <si>
    <t>模具车间取上限</t>
  </si>
  <si>
    <t>备注：具体需要根据设备的自身情况考虑。</t>
  </si>
  <si>
    <t>残值率参考表（企业不可搬迁设备处置变现）</t>
  </si>
  <si>
    <t>锻造设备</t>
  </si>
  <si>
    <t>起重设备</t>
  </si>
  <si>
    <t>泵站内设备</t>
  </si>
  <si>
    <t>制冷、通风设备</t>
  </si>
  <si>
    <t>集中空调设备</t>
  </si>
  <si>
    <t>工业炉窑及冶炼设备</t>
  </si>
  <si>
    <t>电梯</t>
  </si>
  <si>
    <t>电话总机</t>
  </si>
  <si>
    <t>快装锅炉(以主机价计算)</t>
  </si>
  <si>
    <t>蒸汽及热水锅炉(以主机价计算)</t>
  </si>
  <si>
    <t>电镀、镀装设备</t>
  </si>
  <si>
    <t>热处理设备</t>
  </si>
  <si>
    <t>化工工业专业设备</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</si>
</sst>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4" formatCode="_ &quot;￥&quot;* #,##0.00_ ;_ &quot;￥&quot;* \-#,##0.00_ ;_ &quot;￥&quot;* &quot;-&quot;??_ ;_ @_ "/>
    <numFmt numFmtId="176" formatCode="_ \¥* #,##0_ ;_ \¥* \-#,##0_ ;_ \¥* &quot;-&quot;_ ;_ @_ "/>
    <numFmt numFmtId="43" formatCode="_ * #,##0.00_ ;_ * \-#,##0.00_ ;_ * &quot;-&quot;??_ ;_ @_ "/>
    <numFmt numFmtId="177" formatCode="yyyy&quot;年&quot;m&quot;月&quot;;@"/>
    <numFmt numFmtId="178" formatCode="0.00_ "/>
    <numFmt numFmtId="179" formatCode="0_ "/>
    <numFmt numFmtId="180" formatCode="yyyy&quot;年&quot;m&quot;月&quot;d&quot;日&quot;;@"/>
    <numFmt numFmtId="181" formatCode="[=0]&quot;&quot;;General"/>
  </numFmts>
  <fonts count="77">
    <font>
      <sz val="11"/>
      <color theme="1"/>
      <name val="宋体"/>
      <charset val="134"/>
      <scheme val="minor"/>
    </font>
    <font>
      <b/>
      <sz val="12"/>
      <color theme="1"/>
      <name val="宋体"/>
      <charset val="134"/>
      <scheme val="minor"/>
    </font>
    <font>
      <sz val="12"/>
      <color theme="1"/>
      <name val="Arial Narrow"/>
      <charset val="134"/>
    </font>
    <font>
      <sz val="12"/>
      <color theme="1"/>
      <name val="宋体"/>
      <charset val="134"/>
    </font>
    <font>
      <sz val="10"/>
      <color theme="1"/>
      <name val="宋体"/>
      <charset val="134"/>
    </font>
    <font>
      <sz val="10"/>
      <color theme="1"/>
      <name val="Arial"/>
      <charset val="134"/>
    </font>
    <font>
      <sz val="11"/>
      <color theme="1"/>
      <name val="宋体"/>
      <charset val="134"/>
    </font>
    <font>
      <sz val="11"/>
      <color theme="1"/>
      <name val="Arial Narrow"/>
      <charset val="134"/>
    </font>
    <font>
      <sz val="12"/>
      <color rgb="FF0000FF"/>
      <name val="宋体"/>
      <charset val="134"/>
      <scheme val="minor"/>
    </font>
    <font>
      <b/>
      <sz val="15"/>
      <color theme="1"/>
      <name val="宋体"/>
      <charset val="134"/>
      <scheme val="minor"/>
    </font>
    <font>
      <sz val="12"/>
      <color theme="1"/>
      <name val="宋体"/>
      <charset val="134"/>
      <scheme val="minor"/>
    </font>
    <font>
      <b/>
      <sz val="12"/>
      <color theme="1"/>
      <name val="宋体"/>
      <charset val="134"/>
    </font>
    <font>
      <b/>
      <sz val="12"/>
      <color theme="1"/>
      <name val="Arial Narrow"/>
      <charset val="134"/>
    </font>
    <font>
      <b/>
      <sz val="14"/>
      <color theme="1"/>
      <name val="Arial"/>
      <charset val="134"/>
    </font>
    <font>
      <sz val="11"/>
      <color theme="1"/>
      <name val="Arial"/>
      <charset val="134"/>
    </font>
    <font>
      <b/>
      <sz val="16"/>
      <color theme="1"/>
      <name val="宋体"/>
      <charset val="134"/>
      <scheme val="minor"/>
    </font>
    <font>
      <sz val="10"/>
      <color theme="1"/>
      <name val="Times New Roman"/>
      <charset val="134"/>
    </font>
    <font>
      <b/>
      <sz val="10"/>
      <color theme="1"/>
      <name val="Times New Roman"/>
      <charset val="134"/>
    </font>
    <font>
      <b/>
      <sz val="10"/>
      <color theme="1"/>
      <name val="宋体"/>
      <charset val="134"/>
    </font>
    <font>
      <b/>
      <sz val="11"/>
      <color theme="1"/>
      <name val="宋体"/>
      <charset val="134"/>
      <scheme val="minor"/>
    </font>
    <font>
      <sz val="9"/>
      <color theme="1"/>
      <name val="宋体"/>
      <charset val="134"/>
    </font>
    <font>
      <b/>
      <sz val="16"/>
      <color theme="1"/>
      <name val="宋体"/>
      <charset val="134"/>
    </font>
    <font>
      <b/>
      <sz val="16"/>
      <color theme="1"/>
      <name val="Times New Roman"/>
      <charset val="134"/>
    </font>
    <font>
      <sz val="10"/>
      <color theme="1"/>
      <name val="宋体"/>
      <charset val="134"/>
      <scheme val="minor"/>
    </font>
    <font>
      <sz val="10"/>
      <color rgb="FFFF0000"/>
      <name val="宋体"/>
      <charset val="134"/>
    </font>
    <font>
      <sz val="10"/>
      <color rgb="FFFF0000"/>
      <name val="Times New Roman"/>
      <charset val="134"/>
    </font>
    <font>
      <sz val="12"/>
      <name val="宋体"/>
      <charset val="134"/>
    </font>
    <font>
      <sz val="10"/>
      <name val="宋体"/>
      <charset val="134"/>
    </font>
    <font>
      <sz val="9"/>
      <name val="Times New Roman"/>
      <charset val="134"/>
    </font>
    <font>
      <b/>
      <sz val="18"/>
      <name val="宋体"/>
      <charset val="134"/>
    </font>
    <font>
      <sz val="9"/>
      <name val="宋体"/>
      <charset val="134"/>
    </font>
    <font>
      <sz val="9"/>
      <color rgb="FFFF0000"/>
      <name val="宋体"/>
      <charset val="134"/>
    </font>
    <font>
      <sz val="12"/>
      <name val="Times New Roman"/>
      <charset val="134"/>
    </font>
    <font>
      <sz val="12"/>
      <color rgb="FFFF0000"/>
      <name val="宋体"/>
      <charset val="134"/>
    </font>
    <font>
      <b/>
      <sz val="10"/>
      <name val="宋体"/>
      <charset val="134"/>
    </font>
    <font>
      <sz val="11"/>
      <name val="宋体"/>
      <charset val="134"/>
    </font>
    <font>
      <sz val="18"/>
      <name val="宋体"/>
      <charset val="134"/>
    </font>
    <font>
      <sz val="13"/>
      <color theme="1"/>
      <name val="宋体"/>
      <charset val="134"/>
      <scheme val="minor"/>
    </font>
    <font>
      <b/>
      <sz val="10"/>
      <color indexed="8"/>
      <name val="宋体"/>
      <charset val="134"/>
    </font>
    <font>
      <sz val="10"/>
      <color indexed="8"/>
      <name val="宋体"/>
      <charset val="134"/>
    </font>
    <font>
      <sz val="10"/>
      <color indexed="10"/>
      <name val="宋体"/>
      <charset val="134"/>
    </font>
    <font>
      <sz val="10"/>
      <color indexed="9"/>
      <name val="Times New Roman"/>
      <charset val="134"/>
    </font>
    <font>
      <sz val="10"/>
      <color indexed="8"/>
      <name val="Times New Roman"/>
      <charset val="134"/>
    </font>
    <font>
      <sz val="20"/>
      <name val="宋体"/>
      <charset val="134"/>
    </font>
    <font>
      <sz val="10"/>
      <name val="Times New Roman"/>
      <charset val="134"/>
    </font>
    <font>
      <sz val="11"/>
      <color theme="1"/>
      <name val="宋体"/>
      <charset val="0"/>
      <scheme val="minor"/>
    </font>
    <font>
      <sz val="11"/>
      <color rgb="FF3F3F76"/>
      <name val="宋体"/>
      <charset val="0"/>
      <scheme val="minor"/>
    </font>
    <font>
      <sz val="11"/>
      <color theme="0"/>
      <name val="宋体"/>
      <charset val="0"/>
      <scheme val="minor"/>
    </font>
    <font>
      <sz val="11"/>
      <color rgb="FFFA7D00"/>
      <name val="宋体"/>
      <charset val="0"/>
      <scheme val="minor"/>
    </font>
    <font>
      <sz val="11"/>
      <color rgb="FF9C6500"/>
      <name val="宋体"/>
      <charset val="0"/>
      <scheme val="minor"/>
    </font>
    <font>
      <sz val="11"/>
      <color rgb="FF9C0006"/>
      <name val="宋体"/>
      <charset val="0"/>
      <scheme val="minor"/>
    </font>
    <font>
      <sz val="10"/>
      <color indexed="8"/>
      <name val="Arial"/>
      <charset val="134"/>
    </font>
    <font>
      <u/>
      <sz val="11"/>
      <color rgb="FF0000FF"/>
      <name val="宋体"/>
      <charset val="0"/>
      <scheme val="minor"/>
    </font>
    <font>
      <u/>
      <sz val="11"/>
      <color rgb="FF800080"/>
      <name val="宋体"/>
      <charset val="0"/>
      <scheme val="minor"/>
    </font>
    <font>
      <sz val="10"/>
      <name val="Arial"/>
      <charset val="134"/>
    </font>
    <font>
      <b/>
      <sz val="11"/>
      <color theme="3"/>
      <name val="宋体"/>
      <charset val="134"/>
      <scheme val="minor"/>
    </font>
    <font>
      <sz val="11"/>
      <color rgb="FFFF0000"/>
      <name val="宋体"/>
      <charset val="0"/>
      <scheme val="minor"/>
    </font>
    <font>
      <b/>
      <sz val="18"/>
      <color theme="3"/>
      <name val="宋体"/>
      <charset val="134"/>
      <scheme val="minor"/>
    </font>
    <font>
      <sz val="11"/>
      <color indexed="17"/>
      <name val="宋体"/>
      <charset val="134"/>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3F3F3F"/>
      <name val="宋体"/>
      <charset val="0"/>
      <scheme val="minor"/>
    </font>
    <font>
      <sz val="11"/>
      <color indexed="20"/>
      <name val="宋体"/>
      <charset val="134"/>
    </font>
    <font>
      <b/>
      <sz val="11"/>
      <color rgb="FFFFFFFF"/>
      <name val="宋体"/>
      <charset val="0"/>
      <scheme val="minor"/>
    </font>
    <font>
      <b/>
      <sz val="11"/>
      <color theme="1"/>
      <name val="宋体"/>
      <charset val="0"/>
      <scheme val="minor"/>
    </font>
    <font>
      <sz val="11"/>
      <color rgb="FF006100"/>
      <name val="宋体"/>
      <charset val="0"/>
      <scheme val="minor"/>
    </font>
    <font>
      <u/>
      <sz val="11"/>
      <color indexed="12"/>
      <name val="宋体"/>
      <charset val="134"/>
    </font>
    <font>
      <sz val="12"/>
      <color rgb="FF0000FF"/>
      <name val="宋体"/>
      <charset val="134"/>
    </font>
    <font>
      <b/>
      <sz val="14"/>
      <color theme="1"/>
      <name val="宋体"/>
      <charset val="134"/>
    </font>
    <font>
      <sz val="11"/>
      <color rgb="FF0000FF"/>
      <name val="宋体"/>
      <charset val="134"/>
    </font>
    <font>
      <sz val="11"/>
      <color rgb="FF0000FF"/>
      <name val="Arial"/>
      <charset val="134"/>
    </font>
    <font>
      <sz val="10"/>
      <name val="Arial Narrow"/>
      <charset val="134"/>
    </font>
    <font>
      <vertAlign val="superscript"/>
      <sz val="12"/>
      <name val="宋体"/>
      <charset val="134"/>
    </font>
    <font>
      <b/>
      <sz val="9"/>
      <name val="宋体"/>
      <charset val="134"/>
    </font>
    <font>
      <sz val="9"/>
      <name val="宋体"/>
      <charset val="134"/>
    </font>
  </fonts>
  <fills count="42">
    <fill>
      <patternFill patternType="none"/>
    </fill>
    <fill>
      <patternFill patternType="gray125"/>
    </fill>
    <fill>
      <patternFill patternType="solid">
        <fgColor theme="6" tint="0.8"/>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9" tint="0.8"/>
        <bgColor indexed="64"/>
      </patternFill>
    </fill>
    <fill>
      <patternFill patternType="solid">
        <fgColor rgb="FF00B050"/>
        <bgColor indexed="64"/>
      </patternFill>
    </fill>
    <fill>
      <patternFill patternType="solid">
        <fgColor theme="0"/>
        <bgColor indexed="64"/>
      </patternFill>
    </fill>
    <fill>
      <patternFill patternType="solid">
        <fgColor indexed="9"/>
        <bgColor indexed="64"/>
      </patternFill>
    </fill>
    <fill>
      <patternFill patternType="solid">
        <fgColor theme="8" tint="0.799981688894314"/>
        <bgColor indexed="64"/>
      </patternFill>
    </fill>
    <fill>
      <patternFill patternType="solid">
        <fgColor rgb="FFFFCC99"/>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indexed="42"/>
        <bgColor indexed="64"/>
      </patternFill>
    </fill>
    <fill>
      <patternFill patternType="solid">
        <fgColor rgb="FFF2F2F2"/>
        <bgColor indexed="64"/>
      </patternFill>
    </fill>
    <fill>
      <patternFill patternType="solid">
        <fgColor theme="4" tint="0.399975585192419"/>
        <bgColor indexed="64"/>
      </patternFill>
    </fill>
    <fill>
      <patternFill patternType="solid">
        <fgColor indexed="45"/>
        <bgColor indexed="64"/>
      </patternFill>
    </fill>
    <fill>
      <patternFill patternType="solid">
        <fgColor rgb="FFA5A5A5"/>
        <bgColor indexed="64"/>
      </patternFill>
    </fill>
    <fill>
      <patternFill patternType="solid">
        <fgColor theme="9"/>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s>
  <borders count="4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auto="1"/>
      </left>
      <right style="medium">
        <color auto="1"/>
      </right>
      <top/>
      <bottom style="medium">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5">
    <xf numFmtId="0" fontId="0" fillId="0" borderId="0"/>
    <xf numFmtId="42" fontId="0" fillId="0" borderId="0" applyFont="0" applyFill="0" applyBorder="0" applyAlignment="0" applyProtection="0">
      <alignment vertical="center"/>
    </xf>
    <xf numFmtId="43" fontId="32" fillId="0" borderId="0" applyFont="0" applyFill="0" applyBorder="0" applyAlignment="0" applyProtection="0"/>
    <xf numFmtId="0" fontId="45" fillId="14" borderId="0" applyNumberFormat="0" applyBorder="0" applyAlignment="0" applyProtection="0">
      <alignment vertical="center"/>
    </xf>
    <xf numFmtId="0" fontId="46" fillId="10"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5" fillId="15" borderId="0" applyNumberFormat="0" applyBorder="0" applyAlignment="0" applyProtection="0">
      <alignment vertical="center"/>
    </xf>
    <xf numFmtId="0" fontId="50" fillId="17" borderId="0" applyNumberFormat="0" applyBorder="0" applyAlignment="0" applyProtection="0">
      <alignment vertical="center"/>
    </xf>
    <xf numFmtId="43" fontId="0" fillId="0" borderId="0" applyFont="0" applyFill="0" applyBorder="0" applyAlignment="0" applyProtection="0">
      <alignment vertical="center"/>
    </xf>
    <xf numFmtId="0" fontId="47" fillId="13" borderId="0" applyNumberFormat="0" applyBorder="0" applyAlignment="0" applyProtection="0">
      <alignment vertical="center"/>
    </xf>
    <xf numFmtId="0" fontId="52" fillId="0" borderId="0" applyNumberFormat="0" applyFill="0" applyBorder="0" applyAlignment="0" applyProtection="0">
      <alignment vertical="center"/>
    </xf>
    <xf numFmtId="9" fontId="0" fillId="0" borderId="0" applyFont="0" applyFill="0" applyBorder="0" applyAlignment="0" applyProtection="0">
      <alignment vertical="center"/>
    </xf>
    <xf numFmtId="0" fontId="53" fillId="0" borderId="0" applyNumberFormat="0" applyFill="0" applyBorder="0" applyAlignment="0" applyProtection="0">
      <alignment vertical="center"/>
    </xf>
    <xf numFmtId="0" fontId="0" fillId="23" borderId="37" applyNumberFormat="0" applyFont="0" applyAlignment="0" applyProtection="0">
      <alignment vertical="center"/>
    </xf>
    <xf numFmtId="0" fontId="54" fillId="0" borderId="0"/>
    <xf numFmtId="0" fontId="47" fillId="29" borderId="0" applyNumberFormat="0" applyBorder="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31" borderId="0" applyNumberFormat="0" applyBorder="0" applyAlignment="0" applyProtection="0">
      <alignment vertical="center"/>
    </xf>
    <xf numFmtId="0" fontId="59" fillId="0" borderId="0" applyNumberFormat="0" applyFill="0" applyBorder="0" applyAlignment="0" applyProtection="0">
      <alignment vertical="center"/>
    </xf>
    <xf numFmtId="0" fontId="60" fillId="0" borderId="38" applyNumberFormat="0" applyFill="0" applyAlignment="0" applyProtection="0">
      <alignment vertical="center"/>
    </xf>
    <xf numFmtId="0" fontId="61" fillId="0" borderId="38" applyNumberFormat="0" applyFill="0" applyAlignment="0" applyProtection="0">
      <alignment vertical="center"/>
    </xf>
    <xf numFmtId="0" fontId="55" fillId="0" borderId="39" applyNumberFormat="0" applyFill="0" applyAlignment="0" applyProtection="0">
      <alignment vertical="center"/>
    </xf>
    <xf numFmtId="176" fontId="26" fillId="0" borderId="0" applyFont="0" applyFill="0" applyBorder="0" applyAlignment="0" applyProtection="0"/>
    <xf numFmtId="0" fontId="47" fillId="33" borderId="0" applyNumberFormat="0" applyBorder="0" applyAlignment="0" applyProtection="0">
      <alignment vertical="center"/>
    </xf>
    <xf numFmtId="0" fontId="47" fillId="22" borderId="0" applyNumberFormat="0" applyBorder="0" applyAlignment="0" applyProtection="0">
      <alignment vertical="center"/>
    </xf>
    <xf numFmtId="0" fontId="63" fillId="32" borderId="40" applyNumberFormat="0" applyAlignment="0" applyProtection="0">
      <alignment vertical="center"/>
    </xf>
    <xf numFmtId="41" fontId="32" fillId="0" borderId="0" applyFont="0" applyFill="0" applyBorder="0" applyAlignment="0" applyProtection="0"/>
    <xf numFmtId="0" fontId="62" fillId="32" borderId="35" applyNumberFormat="0" applyAlignment="0" applyProtection="0">
      <alignment vertical="center"/>
    </xf>
    <xf numFmtId="0" fontId="65" fillId="35" borderId="41" applyNumberFormat="0" applyAlignment="0" applyProtection="0">
      <alignment vertical="center"/>
    </xf>
    <xf numFmtId="0" fontId="45" fillId="30" borderId="0" applyNumberFormat="0" applyBorder="0" applyAlignment="0" applyProtection="0">
      <alignment vertical="center"/>
    </xf>
    <xf numFmtId="0" fontId="47" fillId="21" borderId="0" applyNumberFormat="0" applyBorder="0" applyAlignment="0" applyProtection="0">
      <alignment vertical="center"/>
    </xf>
    <xf numFmtId="0" fontId="48" fillId="0" borderId="36" applyNumberFormat="0" applyFill="0" applyAlignment="0" applyProtection="0">
      <alignment vertical="center"/>
    </xf>
    <xf numFmtId="0" fontId="66" fillId="0" borderId="42" applyNumberFormat="0" applyFill="0" applyAlignment="0" applyProtection="0">
      <alignment vertical="center"/>
    </xf>
    <xf numFmtId="0" fontId="67" fillId="37" borderId="0" applyNumberFormat="0" applyBorder="0" applyAlignment="0" applyProtection="0">
      <alignment vertical="center"/>
    </xf>
    <xf numFmtId="0" fontId="49" fillId="16" borderId="0" applyNumberFormat="0" applyBorder="0" applyAlignment="0" applyProtection="0">
      <alignment vertical="center"/>
    </xf>
    <xf numFmtId="0" fontId="32" fillId="0" borderId="0"/>
    <xf numFmtId="0" fontId="45" fillId="9" borderId="0" applyNumberFormat="0" applyBorder="0" applyAlignment="0" applyProtection="0">
      <alignment vertical="center"/>
    </xf>
    <xf numFmtId="0" fontId="47" fillId="41" borderId="0" applyNumberFormat="0" applyBorder="0" applyAlignment="0" applyProtection="0">
      <alignment vertical="center"/>
    </xf>
    <xf numFmtId="0" fontId="45" fillId="12" borderId="0" applyNumberFormat="0" applyBorder="0" applyAlignment="0" applyProtection="0">
      <alignment vertical="center"/>
    </xf>
    <xf numFmtId="0" fontId="45" fillId="20" borderId="0" applyNumberFormat="0" applyBorder="0" applyAlignment="0" applyProtection="0">
      <alignment vertical="center"/>
    </xf>
    <xf numFmtId="0" fontId="45" fillId="28" borderId="0" applyNumberFormat="0" applyBorder="0" applyAlignment="0" applyProtection="0">
      <alignment vertical="center"/>
    </xf>
    <xf numFmtId="0" fontId="27" fillId="0" borderId="0"/>
    <xf numFmtId="0" fontId="45" fillId="40" borderId="0" applyNumberFormat="0" applyBorder="0" applyAlignment="0" applyProtection="0">
      <alignment vertical="center"/>
    </xf>
    <xf numFmtId="0" fontId="64" fillId="34" borderId="0" applyNumberFormat="0" applyBorder="0" applyAlignment="0" applyProtection="0">
      <alignment vertical="center"/>
    </xf>
    <xf numFmtId="0" fontId="47" fillId="26" borderId="0" applyNumberFormat="0" applyBorder="0" applyAlignment="0" applyProtection="0">
      <alignment vertical="center"/>
    </xf>
    <xf numFmtId="0" fontId="47" fillId="11" borderId="0" applyNumberFormat="0" applyBorder="0" applyAlignment="0" applyProtection="0">
      <alignment vertical="center"/>
    </xf>
    <xf numFmtId="0" fontId="45" fillId="39" borderId="0" applyNumberFormat="0" applyBorder="0" applyAlignment="0" applyProtection="0">
      <alignment vertical="center"/>
    </xf>
    <xf numFmtId="0" fontId="45" fillId="25" borderId="0" applyNumberFormat="0" applyBorder="0" applyAlignment="0" applyProtection="0">
      <alignment vertical="center"/>
    </xf>
    <xf numFmtId="0" fontId="47" fillId="19" borderId="0" applyNumberFormat="0" applyBorder="0" applyAlignment="0" applyProtection="0">
      <alignment vertical="center"/>
    </xf>
    <xf numFmtId="0" fontId="26" fillId="0" borderId="0"/>
    <xf numFmtId="0" fontId="45" fillId="24" borderId="0" applyNumberFormat="0" applyBorder="0" applyAlignment="0" applyProtection="0">
      <alignment vertical="center"/>
    </xf>
    <xf numFmtId="0" fontId="47" fillId="38" borderId="0" applyNumberFormat="0" applyBorder="0" applyAlignment="0" applyProtection="0">
      <alignment vertical="center"/>
    </xf>
    <xf numFmtId="0" fontId="47" fillId="36" borderId="0" applyNumberFormat="0" applyBorder="0" applyAlignment="0" applyProtection="0">
      <alignment vertical="center"/>
    </xf>
    <xf numFmtId="0" fontId="45" fillId="18" borderId="0" applyNumberFormat="0" applyBorder="0" applyAlignment="0" applyProtection="0">
      <alignment vertical="center"/>
    </xf>
    <xf numFmtId="0" fontId="47" fillId="27" borderId="0" applyNumberFormat="0" applyBorder="0" applyAlignment="0" applyProtection="0">
      <alignment vertical="center"/>
    </xf>
    <xf numFmtId="0" fontId="26" fillId="0" borderId="0">
      <alignment vertical="center"/>
    </xf>
    <xf numFmtId="0" fontId="26" fillId="0" borderId="0"/>
    <xf numFmtId="0" fontId="26" fillId="0" borderId="0"/>
    <xf numFmtId="0" fontId="32" fillId="0" borderId="0">
      <alignment vertical="center"/>
    </xf>
    <xf numFmtId="0" fontId="51" fillId="0" borderId="0"/>
    <xf numFmtId="0" fontId="26" fillId="0" borderId="0">
      <alignment vertical="center"/>
    </xf>
    <xf numFmtId="0" fontId="68" fillId="0" borderId="0" applyNumberFormat="0" applyFill="0" applyBorder="0" applyAlignment="0" applyProtection="0">
      <alignment vertical="center"/>
    </xf>
  </cellStyleXfs>
  <cellXfs count="469">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9" fontId="0" fillId="0" borderId="1" xfId="0" applyNumberFormat="1" applyBorder="1" applyAlignment="1">
      <alignment horizontal="center" vertical="center"/>
    </xf>
    <xf numFmtId="0" fontId="2" fillId="0" borderId="0" xfId="0" applyFont="1" applyAlignment="1">
      <alignment horizontal="left" vertical="center" indent="1"/>
    </xf>
    <xf numFmtId="0" fontId="3" fillId="0" borderId="0" xfId="0" applyFont="1" applyAlignment="1">
      <alignment horizontal="left" vertical="center" indent="1"/>
    </xf>
    <xf numFmtId="0" fontId="3" fillId="0" borderId="0" xfId="0" applyFont="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justify" vertical="center" wrapText="1"/>
    </xf>
    <xf numFmtId="0" fontId="5" fillId="0" borderId="1" xfId="0" applyFont="1" applyBorder="1" applyAlignment="1">
      <alignment vertical="center" wrapText="1"/>
    </xf>
    <xf numFmtId="0" fontId="2" fillId="0" borderId="0" xfId="0" applyFont="1"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0" xfId="0" applyFont="1"/>
    <xf numFmtId="0" fontId="9" fillId="0" borderId="0" xfId="0" applyFont="1" applyAlignment="1">
      <alignment horizontal="center" vertical="center"/>
    </xf>
    <xf numFmtId="0" fontId="0" fillId="0" borderId="0" xfId="0" applyAlignment="1">
      <alignment horizontal="right" vertical="center"/>
    </xf>
    <xf numFmtId="0" fontId="3" fillId="0" borderId="0" xfId="0" applyFont="1" applyAlignment="1">
      <alignment horizontal="left" vertical="center"/>
    </xf>
    <xf numFmtId="0" fontId="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horizontal="center" vertical="center"/>
    </xf>
    <xf numFmtId="0" fontId="4" fillId="0" borderId="0" xfId="0" applyFont="1" applyAlignment="1">
      <alignment horizontal="right" vertical="center"/>
    </xf>
    <xf numFmtId="0" fontId="2" fillId="0" borderId="1" xfId="0" applyFont="1" applyBorder="1" applyAlignment="1">
      <alignment horizontal="center" vertical="center"/>
    </xf>
    <xf numFmtId="43" fontId="0" fillId="0" borderId="1" xfId="9"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43" fontId="0" fillId="0" borderId="0" xfId="0" applyNumberFormat="1" applyAlignment="1">
      <alignment vertical="center"/>
    </xf>
    <xf numFmtId="0" fontId="13" fillId="0" borderId="0" xfId="0" applyFont="1" applyBorder="1" applyAlignment="1">
      <alignment horizontal="center" vertical="center" wrapText="1"/>
    </xf>
    <xf numFmtId="0" fontId="6" fillId="0" borderId="0" xfId="0" applyFont="1" applyBorder="1" applyAlignment="1">
      <alignment vertical="center"/>
    </xf>
    <xf numFmtId="0" fontId="14" fillId="0" borderId="0" xfId="0" applyFont="1" applyBorder="1" applyAlignment="1">
      <alignment vertical="center"/>
    </xf>
    <xf numFmtId="0" fontId="14" fillId="0" borderId="0" xfId="0" applyFont="1" applyBorder="1" applyAlignment="1">
      <alignment horizontal="right" vertical="center" wrapText="1"/>
    </xf>
    <xf numFmtId="0" fontId="14" fillId="0" borderId="1" xfId="0" applyFont="1" applyBorder="1" applyAlignment="1">
      <alignment horizontal="center" vertical="center" wrapText="1"/>
    </xf>
    <xf numFmtId="49" fontId="14" fillId="0" borderId="1" xfId="0" applyNumberFormat="1" applyFont="1" applyBorder="1" applyAlignment="1">
      <alignment horizontal="center" vertical="center" shrinkToFit="1"/>
    </xf>
    <xf numFmtId="0" fontId="15" fillId="0" borderId="2" xfId="0" applyFont="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left" vertical="center"/>
    </xf>
    <xf numFmtId="0" fontId="16" fillId="0" borderId="1" xfId="0" applyFont="1" applyBorder="1" applyAlignment="1">
      <alignment horizontal="left" vertical="center"/>
    </xf>
    <xf numFmtId="0" fontId="18" fillId="0" borderId="1" xfId="0" applyFont="1" applyBorder="1" applyAlignment="1">
      <alignment horizontal="center" vertical="center"/>
    </xf>
    <xf numFmtId="0" fontId="16" fillId="0" borderId="1" xfId="0" applyFont="1" applyBorder="1" applyAlignment="1">
      <alignment vertical="center"/>
    </xf>
    <xf numFmtId="0" fontId="19" fillId="0" borderId="1" xfId="0" applyFont="1" applyBorder="1" applyAlignment="1">
      <alignment horizontal="center" vertical="center"/>
    </xf>
    <xf numFmtId="0" fontId="19" fillId="0" borderId="1" xfId="0" applyFont="1" applyBorder="1" applyAlignment="1">
      <alignment horizontal="left" vertical="center"/>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1" xfId="0" applyFont="1" applyBorder="1" applyAlignment="1">
      <alignment vertical="center"/>
    </xf>
    <xf numFmtId="0" fontId="6" fillId="0" borderId="3" xfId="0" applyFont="1" applyBorder="1" applyAlignment="1">
      <alignment vertical="center" wrapText="1"/>
    </xf>
    <xf numFmtId="0" fontId="14" fillId="0" borderId="4" xfId="0" applyFont="1" applyBorder="1" applyAlignment="1">
      <alignment vertic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vertical="center" wrapText="1"/>
    </xf>
    <xf numFmtId="0" fontId="6" fillId="0" borderId="9" xfId="0" applyFont="1" applyBorder="1" applyAlignment="1">
      <alignment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xf>
    <xf numFmtId="0" fontId="6" fillId="0" borderId="7" xfId="0" applyFont="1" applyBorder="1" applyAlignment="1">
      <alignment vertical="center" wrapText="1"/>
    </xf>
    <xf numFmtId="0" fontId="20" fillId="0" borderId="12" xfId="0" applyFont="1" applyBorder="1" applyAlignment="1">
      <alignment horizontal="center" vertical="center" wrapText="1"/>
    </xf>
    <xf numFmtId="0" fontId="0" fillId="0" borderId="13" xfId="0" applyBorder="1" applyAlignment="1">
      <alignment vertical="top" wrapText="1"/>
    </xf>
    <xf numFmtId="0" fontId="14" fillId="0" borderId="14" xfId="0" applyFont="1" applyBorder="1" applyAlignment="1">
      <alignment vertical="center" wrapText="1"/>
    </xf>
    <xf numFmtId="0" fontId="6" fillId="0" borderId="13" xfId="0" applyFont="1" applyBorder="1" applyAlignment="1">
      <alignment vertical="center" wrapText="1"/>
    </xf>
    <xf numFmtId="0" fontId="20" fillId="0" borderId="15" xfId="0" applyFont="1" applyBorder="1" applyAlignment="1">
      <alignment horizontal="center" vertical="center" wrapText="1"/>
    </xf>
    <xf numFmtId="0" fontId="6" fillId="0" borderId="8" xfId="0" applyFont="1" applyBorder="1" applyAlignment="1">
      <alignment vertical="center" wrapText="1"/>
    </xf>
    <xf numFmtId="0" fontId="14" fillId="0" borderId="9"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4" xfId="0" applyFont="1" applyBorder="1" applyAlignment="1">
      <alignment horizontal="center" vertical="center" wrapText="1"/>
    </xf>
    <xf numFmtId="0" fontId="0" fillId="0" borderId="14" xfId="0" applyBorder="1" applyAlignment="1">
      <alignment vertical="center" wrapText="1"/>
    </xf>
    <xf numFmtId="0" fontId="20" fillId="0" borderId="15" xfId="0" applyFont="1" applyBorder="1" applyAlignment="1">
      <alignment horizontal="center" vertical="center"/>
    </xf>
    <xf numFmtId="0" fontId="14" fillId="0" borderId="7" xfId="0" applyFont="1" applyBorder="1" applyAlignment="1">
      <alignment vertical="center" wrapText="1"/>
    </xf>
    <xf numFmtId="0" fontId="14" fillId="0" borderId="16" xfId="0" applyFont="1" applyBorder="1" applyAlignment="1">
      <alignment vertical="center" wrapText="1"/>
    </xf>
    <xf numFmtId="0" fontId="14" fillId="0" borderId="17" xfId="0" applyFont="1" applyBorder="1" applyAlignment="1">
      <alignment vertical="center" wrapText="1"/>
    </xf>
    <xf numFmtId="0" fontId="14" fillId="0" borderId="18" xfId="0" applyFont="1" applyBorder="1" applyAlignment="1">
      <alignment vertical="center" wrapText="1"/>
    </xf>
    <xf numFmtId="0" fontId="14" fillId="0" borderId="19" xfId="0" applyFont="1" applyBorder="1" applyAlignment="1">
      <alignment vertical="center" wrapText="1"/>
    </xf>
    <xf numFmtId="0" fontId="14" fillId="0" borderId="0" xfId="0" applyFont="1" applyAlignment="1">
      <alignment vertical="center" wrapText="1"/>
    </xf>
    <xf numFmtId="0" fontId="14" fillId="0" borderId="20" xfId="0" applyFont="1" applyBorder="1" applyAlignment="1">
      <alignment vertical="center" wrapText="1"/>
    </xf>
    <xf numFmtId="0" fontId="14" fillId="0" borderId="21" xfId="0" applyFont="1" applyBorder="1" applyAlignment="1">
      <alignment vertical="center" wrapText="1"/>
    </xf>
    <xf numFmtId="0" fontId="20" fillId="0" borderId="6" xfId="0" applyFont="1" applyBorder="1" applyAlignment="1">
      <alignment horizontal="center" vertical="center"/>
    </xf>
    <xf numFmtId="0" fontId="20" fillId="0" borderId="10" xfId="0" applyFont="1" applyBorder="1" applyAlignment="1">
      <alignment horizontal="center" vertical="center"/>
    </xf>
    <xf numFmtId="0" fontId="20" fillId="0" borderId="12" xfId="0" applyFont="1" applyBorder="1" applyAlignment="1">
      <alignment horizontal="center" vertical="center"/>
    </xf>
    <xf numFmtId="0" fontId="16" fillId="0" borderId="0" xfId="0" applyFont="1" applyAlignment="1">
      <alignment horizontal="center" vertical="center"/>
    </xf>
    <xf numFmtId="0" fontId="16" fillId="0" borderId="0" xfId="0" applyFont="1" applyAlignment="1">
      <alignment vertical="center"/>
    </xf>
    <xf numFmtId="0" fontId="21" fillId="0" borderId="0" xfId="0" applyFont="1" applyAlignment="1">
      <alignment horizontal="center" vertical="center"/>
    </xf>
    <xf numFmtId="0" fontId="22" fillId="0" borderId="0" xfId="0" applyFont="1" applyAlignment="1">
      <alignment horizontal="center" vertical="center"/>
    </xf>
    <xf numFmtId="0" fontId="16" fillId="2" borderId="22" xfId="0" applyFont="1" applyFill="1" applyBorder="1" applyAlignment="1">
      <alignment horizontal="left" vertical="center"/>
    </xf>
    <xf numFmtId="0" fontId="16" fillId="3" borderId="23" xfId="0" applyFont="1" applyFill="1" applyBorder="1" applyAlignment="1">
      <alignment horizontal="left" vertical="center"/>
    </xf>
    <xf numFmtId="0" fontId="16" fillId="0" borderId="1" xfId="0" applyFont="1" applyBorder="1" applyAlignment="1">
      <alignment horizontal="left" vertical="center" wrapText="1"/>
    </xf>
    <xf numFmtId="0" fontId="16" fillId="2" borderId="1" xfId="0" applyFont="1" applyFill="1" applyBorder="1" applyAlignment="1">
      <alignment vertical="center"/>
    </xf>
    <xf numFmtId="0" fontId="0" fillId="3" borderId="23" xfId="0" applyFill="1" applyBorder="1" applyAlignment="1">
      <alignment horizontal="left" vertical="center"/>
    </xf>
    <xf numFmtId="177" fontId="16" fillId="0" borderId="1" xfId="0" applyNumberFormat="1" applyFont="1" applyBorder="1" applyAlignment="1">
      <alignment horizontal="left" vertical="center" wrapText="1"/>
    </xf>
    <xf numFmtId="43" fontId="16" fillId="0" borderId="1" xfId="9" applyFont="1" applyBorder="1" applyAlignment="1">
      <alignment horizontal="left" vertical="center" shrinkToFit="1"/>
    </xf>
    <xf numFmtId="0" fontId="16" fillId="2" borderId="22" xfId="0" applyFont="1" applyFill="1" applyBorder="1" applyAlignment="1">
      <alignment horizontal="center" vertical="center"/>
    </xf>
    <xf numFmtId="0" fontId="16" fillId="3" borderId="23" xfId="0" applyFont="1" applyFill="1" applyBorder="1" applyAlignment="1">
      <alignment horizontal="center" vertical="center"/>
    </xf>
    <xf numFmtId="43" fontId="16" fillId="2" borderId="1" xfId="9" applyFont="1" applyFill="1" applyBorder="1" applyAlignment="1">
      <alignment horizontal="center" vertical="center" shrinkToFit="1"/>
    </xf>
    <xf numFmtId="0" fontId="16" fillId="2" borderId="1" xfId="0" applyFont="1" applyFill="1" applyBorder="1" applyAlignment="1">
      <alignment horizontal="center" vertical="center"/>
    </xf>
    <xf numFmtId="0" fontId="23" fillId="2" borderId="1" xfId="0" applyFont="1" applyFill="1" applyBorder="1" applyAlignment="1">
      <alignment horizontal="left" vertical="center"/>
    </xf>
    <xf numFmtId="43" fontId="16" fillId="2" borderId="1" xfId="9" applyFont="1" applyFill="1" applyBorder="1" applyAlignment="1">
      <alignment horizontal="left" vertical="center" shrinkToFit="1"/>
    </xf>
    <xf numFmtId="43" fontId="16" fillId="0" borderId="1" xfId="9" applyFont="1" applyFill="1" applyBorder="1" applyAlignment="1">
      <alignment horizontal="left" vertical="center" shrinkToFit="1"/>
    </xf>
    <xf numFmtId="0" fontId="16" fillId="0" borderId="22" xfId="0" applyFont="1" applyFill="1" applyBorder="1" applyAlignment="1">
      <alignment horizontal="left" vertical="center" wrapText="1"/>
    </xf>
    <xf numFmtId="0" fontId="16" fillId="0" borderId="23" xfId="0" applyFont="1" applyFill="1" applyBorder="1" applyAlignment="1">
      <alignment horizontal="left" vertical="center" wrapText="1"/>
    </xf>
    <xf numFmtId="10" fontId="16" fillId="0" borderId="1" xfId="12" applyNumberFormat="1" applyFont="1" applyFill="1" applyBorder="1" applyAlignment="1">
      <alignment horizontal="center" vertical="center" shrinkToFit="1"/>
    </xf>
    <xf numFmtId="43" fontId="16" fillId="2" borderId="1" xfId="9" applyFont="1" applyFill="1" applyBorder="1" applyAlignment="1">
      <alignment horizontal="right" vertical="center" shrinkToFit="1"/>
    </xf>
    <xf numFmtId="10" fontId="16" fillId="2" borderId="1" xfId="12" applyNumberFormat="1" applyFont="1" applyFill="1" applyBorder="1" applyAlignment="1">
      <alignment horizontal="center" vertical="center" shrinkToFit="1"/>
    </xf>
    <xf numFmtId="0" fontId="23" fillId="2" borderId="1" xfId="0" applyFont="1" applyFill="1" applyBorder="1" applyAlignment="1">
      <alignment horizontal="left" vertical="center" wrapText="1"/>
    </xf>
    <xf numFmtId="0" fontId="16" fillId="2" borderId="1" xfId="0" applyFont="1" applyFill="1" applyBorder="1" applyAlignment="1">
      <alignment horizontal="center" vertical="center" shrinkToFit="1"/>
    </xf>
    <xf numFmtId="0" fontId="16" fillId="0" borderId="22" xfId="0" applyFont="1" applyFill="1" applyBorder="1" applyAlignment="1">
      <alignment horizontal="center" vertical="center" wrapText="1"/>
    </xf>
    <xf numFmtId="0" fontId="16" fillId="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3" borderId="23" xfId="0" applyFont="1" applyFill="1" applyBorder="1" applyAlignment="1">
      <alignment horizontal="center" vertical="center" wrapText="1"/>
    </xf>
    <xf numFmtId="0" fontId="4" fillId="2" borderId="1" xfId="0" applyFont="1" applyFill="1" applyBorder="1" applyAlignment="1">
      <alignment horizontal="left" vertical="center"/>
    </xf>
    <xf numFmtId="0" fontId="16" fillId="3" borderId="1" xfId="0" applyFont="1" applyFill="1" applyBorder="1" applyAlignment="1">
      <alignment horizontal="left" vertical="center"/>
    </xf>
    <xf numFmtId="43" fontId="16" fillId="2" borderId="1" xfId="9" applyFont="1" applyFill="1" applyBorder="1" applyAlignment="1">
      <alignment horizontal="left" vertical="center" wrapText="1"/>
    </xf>
    <xf numFmtId="0" fontId="16"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6" fillId="2" borderId="24" xfId="0" applyFont="1" applyFill="1" applyBorder="1" applyAlignment="1">
      <alignment horizontal="center" vertical="center"/>
    </xf>
    <xf numFmtId="0" fontId="16" fillId="3" borderId="25" xfId="0" applyFont="1" applyFill="1" applyBorder="1" applyAlignment="1">
      <alignment horizontal="center" vertical="center"/>
    </xf>
    <xf numFmtId="0" fontId="16" fillId="0" borderId="26" xfId="0" applyFont="1" applyBorder="1" applyAlignment="1">
      <alignment horizontal="center" vertical="center"/>
    </xf>
    <xf numFmtId="0" fontId="16" fillId="3" borderId="27" xfId="0" applyFont="1" applyFill="1" applyBorder="1" applyAlignment="1">
      <alignment horizontal="center" vertical="center"/>
    </xf>
    <xf numFmtId="0" fontId="16" fillId="3" borderId="28" xfId="0" applyFont="1" applyFill="1" applyBorder="1" applyAlignment="1">
      <alignment horizontal="center" vertical="center"/>
    </xf>
    <xf numFmtId="0" fontId="16" fillId="0" borderId="29" xfId="0" applyFont="1" applyBorder="1" applyAlignment="1">
      <alignment horizontal="center" vertical="center"/>
    </xf>
    <xf numFmtId="0" fontId="16" fillId="3" borderId="30" xfId="0" applyFont="1" applyFill="1" applyBorder="1" applyAlignment="1">
      <alignment horizontal="center" vertical="center"/>
    </xf>
    <xf numFmtId="0" fontId="16" fillId="3" borderId="31" xfId="0" applyFont="1" applyFill="1" applyBorder="1" applyAlignment="1">
      <alignment horizontal="center" vertical="center"/>
    </xf>
    <xf numFmtId="0" fontId="16" fillId="0" borderId="32" xfId="0" applyFont="1" applyBorder="1" applyAlignment="1">
      <alignment horizontal="center" vertical="center"/>
    </xf>
    <xf numFmtId="0" fontId="16" fillId="3" borderId="33" xfId="0" applyFont="1" applyFill="1" applyBorder="1" applyAlignment="1">
      <alignment horizontal="center" vertical="center"/>
    </xf>
    <xf numFmtId="0" fontId="4" fillId="2" borderId="1" xfId="0" applyFont="1" applyFill="1" applyBorder="1" applyAlignment="1">
      <alignment vertical="center"/>
    </xf>
    <xf numFmtId="10" fontId="16" fillId="2" borderId="22" xfId="12" applyNumberFormat="1" applyFont="1" applyFill="1" applyBorder="1" applyAlignment="1">
      <alignment horizontal="center" vertical="center"/>
    </xf>
    <xf numFmtId="10" fontId="16" fillId="3" borderId="23" xfId="12" applyNumberFormat="1" applyFont="1" applyFill="1" applyBorder="1" applyAlignment="1">
      <alignment horizontal="center" vertical="center"/>
    </xf>
    <xf numFmtId="0" fontId="4" fillId="2" borderId="22" xfId="0" applyFont="1" applyFill="1" applyBorder="1" applyAlignment="1">
      <alignment horizontal="left" vertical="center"/>
    </xf>
    <xf numFmtId="10" fontId="16" fillId="2" borderId="1" xfId="12" applyNumberFormat="1" applyFont="1" applyFill="1" applyBorder="1" applyAlignment="1">
      <alignment vertical="center"/>
    </xf>
    <xf numFmtId="0" fontId="16" fillId="0" borderId="22" xfId="0" applyFont="1" applyBorder="1" applyAlignment="1">
      <alignment horizontal="center" vertical="center" wrapText="1"/>
    </xf>
    <xf numFmtId="0" fontId="16" fillId="0" borderId="23" xfId="0" applyFont="1" applyBorder="1" applyAlignment="1">
      <alignment horizontal="center" vertical="center" wrapText="1"/>
    </xf>
    <xf numFmtId="0" fontId="4" fillId="3" borderId="23" xfId="0" applyFont="1" applyFill="1" applyBorder="1" applyAlignment="1">
      <alignment horizontal="left" vertical="center"/>
    </xf>
    <xf numFmtId="43" fontId="16" fillId="0" borderId="1" xfId="9" applyFont="1" applyBorder="1" applyAlignment="1">
      <alignment vertical="center"/>
    </xf>
    <xf numFmtId="14" fontId="16" fillId="0" borderId="0" xfId="0" applyNumberFormat="1" applyFont="1" applyAlignment="1">
      <alignment vertical="center"/>
    </xf>
    <xf numFmtId="0" fontId="24" fillId="0" borderId="0" xfId="0" applyFont="1" applyAlignment="1">
      <alignment vertical="center"/>
    </xf>
    <xf numFmtId="0" fontId="25" fillId="0" borderId="0" xfId="0" applyFont="1" applyAlignment="1">
      <alignment vertical="center"/>
    </xf>
    <xf numFmtId="0" fontId="25" fillId="0" borderId="1" xfId="0" applyFont="1" applyBorder="1" applyAlignment="1">
      <alignment vertical="center"/>
    </xf>
    <xf numFmtId="0" fontId="4" fillId="2" borderId="22" xfId="0" applyFont="1" applyFill="1" applyBorder="1" applyAlignment="1">
      <alignment horizontal="center" vertical="center"/>
    </xf>
    <xf numFmtId="0" fontId="4" fillId="3" borderId="33" xfId="0" applyFont="1" applyFill="1" applyBorder="1" applyAlignment="1">
      <alignment horizontal="center" vertical="center"/>
    </xf>
    <xf numFmtId="0" fontId="4" fillId="3" borderId="23" xfId="0" applyFont="1" applyFill="1" applyBorder="1" applyAlignment="1">
      <alignment horizontal="center" vertical="center"/>
    </xf>
    <xf numFmtId="0" fontId="16" fillId="2" borderId="1" xfId="0" applyFont="1" applyFill="1" applyBorder="1" applyAlignment="1">
      <alignment horizontal="center" vertical="center" wrapText="1"/>
    </xf>
    <xf numFmtId="0" fontId="16" fillId="2" borderId="26" xfId="0" applyFont="1" applyFill="1" applyBorder="1" applyAlignment="1">
      <alignment horizontal="center" vertical="center"/>
    </xf>
    <xf numFmtId="0" fontId="16" fillId="3" borderId="32" xfId="0" applyFont="1" applyFill="1" applyBorder="1" applyAlignment="1">
      <alignment horizontal="center" vertical="center"/>
    </xf>
    <xf numFmtId="43" fontId="16" fillId="0" borderId="1" xfId="9" applyFont="1" applyBorder="1" applyAlignment="1">
      <alignment vertical="center" shrinkToFit="1"/>
    </xf>
    <xf numFmtId="10" fontId="16" fillId="2" borderId="1" xfId="12" applyNumberFormat="1" applyFont="1" applyFill="1" applyBorder="1" applyAlignment="1">
      <alignment horizontal="right" vertical="center"/>
    </xf>
    <xf numFmtId="0" fontId="16" fillId="0" borderId="1" xfId="0" applyFont="1" applyBorder="1" applyAlignment="1">
      <alignment vertical="center" wrapText="1"/>
    </xf>
    <xf numFmtId="0" fontId="4" fillId="2" borderId="1" xfId="0" applyFont="1" applyFill="1" applyBorder="1" applyAlignment="1">
      <alignment vertical="center" wrapText="1"/>
    </xf>
    <xf numFmtId="10" fontId="16" fillId="0" borderId="1" xfId="12" applyNumberFormat="1" applyFont="1" applyBorder="1" applyAlignment="1">
      <alignment horizontal="right" vertical="center"/>
    </xf>
    <xf numFmtId="0" fontId="16" fillId="0" borderId="1" xfId="0" applyFont="1" applyBorder="1" applyAlignment="1">
      <alignment horizontal="center" vertical="center" wrapText="1"/>
    </xf>
    <xf numFmtId="43" fontId="16" fillId="2" borderId="1" xfId="9" applyFont="1" applyFill="1" applyBorder="1" applyAlignment="1">
      <alignment vertical="center"/>
    </xf>
    <xf numFmtId="0" fontId="4" fillId="0" borderId="0" xfId="0" applyFont="1" applyAlignment="1">
      <alignment vertical="center"/>
    </xf>
    <xf numFmtId="0" fontId="26" fillId="0" borderId="0" xfId="59" applyFill="1" applyAlignment="1">
      <alignment vertical="center"/>
    </xf>
    <xf numFmtId="0" fontId="26" fillId="0" borderId="0" xfId="59" applyAlignment="1">
      <alignment vertical="center"/>
    </xf>
    <xf numFmtId="9" fontId="26" fillId="0" borderId="0" xfId="59" applyNumberFormat="1" applyAlignment="1">
      <alignment vertical="center"/>
    </xf>
    <xf numFmtId="0" fontId="27" fillId="0" borderId="0" xfId="59" applyFont="1" applyAlignment="1">
      <alignment vertical="center"/>
    </xf>
    <xf numFmtId="43" fontId="28" fillId="0" borderId="0" xfId="9" applyFont="1" applyAlignment="1">
      <alignment vertical="center"/>
    </xf>
    <xf numFmtId="0" fontId="28" fillId="0" borderId="0" xfId="59" applyFont="1" applyAlignment="1">
      <alignment vertical="center"/>
    </xf>
    <xf numFmtId="10" fontId="28" fillId="0" borderId="0" xfId="12" applyNumberFormat="1" applyFont="1" applyAlignment="1">
      <alignment vertical="center"/>
    </xf>
    <xf numFmtId="43" fontId="28" fillId="0" borderId="0" xfId="9" applyFont="1" applyFill="1" applyAlignment="1">
      <alignment horizontal="center" vertical="center"/>
    </xf>
    <xf numFmtId="0" fontId="28" fillId="0" borderId="0" xfId="59" applyFont="1" applyAlignment="1">
      <alignment horizontal="center" vertical="center"/>
    </xf>
    <xf numFmtId="0" fontId="28" fillId="0" borderId="0" xfId="59" applyFont="1" applyFill="1" applyAlignment="1">
      <alignment horizontal="center" vertical="center"/>
    </xf>
    <xf numFmtId="179" fontId="28" fillId="0" borderId="0" xfId="59" applyNumberFormat="1" applyFont="1" applyAlignment="1">
      <alignment vertical="center"/>
    </xf>
    <xf numFmtId="9" fontId="28" fillId="0" borderId="0" xfId="59" applyNumberFormat="1" applyFont="1" applyAlignment="1">
      <alignment horizontal="center" vertical="center"/>
    </xf>
    <xf numFmtId="43" fontId="28" fillId="0" borderId="0" xfId="9" applyFont="1" applyAlignment="1">
      <alignment horizontal="center" vertical="center"/>
    </xf>
    <xf numFmtId="0" fontId="29" fillId="2" borderId="0" xfId="59" applyFont="1" applyFill="1" applyAlignment="1">
      <alignment horizontal="centerContinuous" vertical="center"/>
    </xf>
    <xf numFmtId="0" fontId="26" fillId="2" borderId="0" xfId="59" applyFont="1" applyFill="1" applyAlignment="1">
      <alignment horizontal="center" vertical="center"/>
    </xf>
    <xf numFmtId="0" fontId="26" fillId="4" borderId="0" xfId="59" applyFill="1" applyAlignment="1">
      <alignment horizontal="center" vertical="center"/>
    </xf>
    <xf numFmtId="0" fontId="26" fillId="2" borderId="0" xfId="59" applyFont="1" applyFill="1" applyAlignment="1">
      <alignment vertical="center"/>
    </xf>
    <xf numFmtId="0" fontId="26" fillId="2" borderId="0" xfId="59" applyFill="1" applyAlignment="1">
      <alignment vertical="center"/>
    </xf>
    <xf numFmtId="0" fontId="26" fillId="2" borderId="26" xfId="59" applyFill="1" applyBorder="1" applyAlignment="1">
      <alignment horizontal="center" vertical="center"/>
    </xf>
    <xf numFmtId="0" fontId="26" fillId="2" borderId="26" xfId="59" applyFill="1" applyBorder="1" applyAlignment="1">
      <alignment horizontal="center" vertical="center" wrapText="1"/>
    </xf>
    <xf numFmtId="0" fontId="26" fillId="2" borderId="29" xfId="59" applyFill="1" applyBorder="1" applyAlignment="1">
      <alignment horizontal="center" vertical="center"/>
    </xf>
    <xf numFmtId="0" fontId="26" fillId="2" borderId="29" xfId="59" applyFill="1" applyBorder="1" applyAlignment="1">
      <alignment horizontal="center" vertical="center" wrapText="1"/>
    </xf>
    <xf numFmtId="0" fontId="26" fillId="4" borderId="29" xfId="59" applyFill="1" applyBorder="1" applyAlignment="1">
      <alignment horizontal="center" vertical="center"/>
    </xf>
    <xf numFmtId="0" fontId="26" fillId="2" borderId="32" xfId="59" applyFill="1" applyBorder="1" applyAlignment="1">
      <alignment horizontal="center" vertical="center"/>
    </xf>
    <xf numFmtId="0" fontId="26" fillId="2" borderId="32" xfId="59" applyFill="1" applyBorder="1" applyAlignment="1">
      <alignment horizontal="center" vertical="center" wrapText="1"/>
    </xf>
    <xf numFmtId="0" fontId="26" fillId="4" borderId="32" xfId="59" applyFill="1" applyBorder="1" applyAlignment="1">
      <alignment horizontal="center" vertical="center"/>
    </xf>
    <xf numFmtId="0" fontId="26" fillId="2" borderId="1" xfId="59" applyFill="1" applyBorder="1" applyAlignment="1">
      <alignment horizontal="center" vertical="center" shrinkToFit="1"/>
    </xf>
    <xf numFmtId="0" fontId="26" fillId="0" borderId="1" xfId="59" applyFont="1" applyFill="1" applyBorder="1" applyAlignment="1">
      <alignment horizontal="center" vertical="center" shrinkToFit="1"/>
    </xf>
    <xf numFmtId="178" fontId="26" fillId="2" borderId="1" xfId="59" applyNumberFormat="1" applyFill="1" applyBorder="1" applyAlignment="1">
      <alignment horizontal="right" vertical="center" shrinkToFit="1"/>
    </xf>
    <xf numFmtId="9" fontId="29" fillId="2" borderId="0" xfId="59" applyNumberFormat="1" applyFont="1" applyFill="1" applyAlignment="1">
      <alignment horizontal="centerContinuous" vertical="center"/>
    </xf>
    <xf numFmtId="9" fontId="26" fillId="4" borderId="0" xfId="59" applyNumberFormat="1" applyFill="1" applyAlignment="1">
      <alignment horizontal="center" vertical="center"/>
    </xf>
    <xf numFmtId="9" fontId="26" fillId="2" borderId="0" xfId="59" applyNumberFormat="1" applyFill="1" applyAlignment="1">
      <alignment vertical="center"/>
    </xf>
    <xf numFmtId="9" fontId="26" fillId="2" borderId="26" xfId="59" applyNumberFormat="1" applyFont="1" applyFill="1" applyBorder="1" applyAlignment="1">
      <alignment horizontal="center" vertical="center" wrapText="1"/>
    </xf>
    <xf numFmtId="9" fontId="26" fillId="2" borderId="26" xfId="59" applyNumberFormat="1" applyFill="1" applyBorder="1" applyAlignment="1">
      <alignment horizontal="center" vertical="center" wrapText="1"/>
    </xf>
    <xf numFmtId="0" fontId="26" fillId="2" borderId="22" xfId="59" applyFont="1" applyFill="1" applyBorder="1" applyAlignment="1">
      <alignment horizontal="center" vertical="center"/>
    </xf>
    <xf numFmtId="0" fontId="26" fillId="4" borderId="33" xfId="59" applyFont="1" applyFill="1" applyBorder="1" applyAlignment="1">
      <alignment horizontal="center" vertical="center"/>
    </xf>
    <xf numFmtId="0" fontId="26" fillId="4" borderId="23" xfId="59" applyFont="1" applyFill="1" applyBorder="1" applyAlignment="1">
      <alignment horizontal="center" vertical="center"/>
    </xf>
    <xf numFmtId="9" fontId="26" fillId="4" borderId="29" xfId="59" applyNumberFormat="1" applyFill="1" applyBorder="1" applyAlignment="1">
      <alignment horizontal="center" vertical="center" wrapText="1"/>
    </xf>
    <xf numFmtId="9" fontId="26" fillId="2" borderId="29" xfId="59" applyNumberFormat="1" applyFill="1" applyBorder="1" applyAlignment="1">
      <alignment horizontal="center" vertical="center" wrapText="1"/>
    </xf>
    <xf numFmtId="0" fontId="26" fillId="2" borderId="26" xfId="59" applyFont="1" applyFill="1" applyBorder="1" applyAlignment="1">
      <alignment horizontal="center" vertical="center" wrapText="1"/>
    </xf>
    <xf numFmtId="9" fontId="26" fillId="4" borderId="32" xfId="59" applyNumberFormat="1" applyFill="1" applyBorder="1" applyAlignment="1">
      <alignment horizontal="center" vertical="center" wrapText="1"/>
    </xf>
    <xf numFmtId="9" fontId="26" fillId="2" borderId="32" xfId="59" applyNumberFormat="1" applyFill="1" applyBorder="1" applyAlignment="1">
      <alignment horizontal="center" vertical="center" wrapText="1"/>
    </xf>
    <xf numFmtId="0" fontId="26" fillId="4" borderId="32" xfId="59" applyFont="1" applyFill="1" applyBorder="1" applyAlignment="1">
      <alignment horizontal="center" vertical="center" wrapText="1"/>
    </xf>
    <xf numFmtId="9" fontId="26" fillId="2" borderId="1" xfId="59" applyNumberFormat="1" applyFill="1" applyBorder="1" applyAlignment="1">
      <alignment horizontal="center" vertical="center" shrinkToFit="1"/>
    </xf>
    <xf numFmtId="178" fontId="26" fillId="2" borderId="1" xfId="59" applyNumberFormat="1" applyFill="1" applyBorder="1" applyAlignment="1">
      <alignment horizontal="center" vertical="center" shrinkToFit="1"/>
    </xf>
    <xf numFmtId="0" fontId="26" fillId="2" borderId="0" xfId="59" applyFill="1" applyAlignment="1">
      <alignment horizontal="center" vertical="center"/>
    </xf>
    <xf numFmtId="0" fontId="27" fillId="0" borderId="0" xfId="59" applyFont="1" applyFill="1" applyAlignment="1">
      <alignment vertical="center"/>
    </xf>
    <xf numFmtId="43" fontId="28" fillId="0" borderId="0" xfId="9" applyFont="1" applyFill="1" applyAlignment="1">
      <alignment vertical="center"/>
    </xf>
    <xf numFmtId="0" fontId="28" fillId="0" borderId="0" xfId="59" applyFont="1" applyFill="1" applyAlignment="1">
      <alignment vertical="center"/>
    </xf>
    <xf numFmtId="10" fontId="28" fillId="0" borderId="0" xfId="12" applyNumberFormat="1" applyFont="1" applyFill="1" applyAlignment="1">
      <alignment vertical="center"/>
    </xf>
    <xf numFmtId="0" fontId="26" fillId="2" borderId="2" xfId="59" applyFill="1" applyBorder="1" applyAlignment="1">
      <alignment horizontal="right" vertical="center"/>
    </xf>
    <xf numFmtId="0" fontId="26" fillId="4" borderId="0" xfId="59" applyFill="1" applyBorder="1" applyAlignment="1">
      <alignment horizontal="right" vertical="center"/>
    </xf>
    <xf numFmtId="0" fontId="26" fillId="2" borderId="0" xfId="59" applyFill="1" applyAlignment="1">
      <alignment horizontal="right" vertical="center"/>
    </xf>
    <xf numFmtId="10" fontId="28" fillId="0" borderId="2" xfId="12" applyNumberFormat="1" applyFont="1" applyFill="1" applyBorder="1" applyAlignment="1">
      <alignment vertical="center"/>
    </xf>
    <xf numFmtId="0" fontId="26" fillId="2" borderId="1" xfId="59" applyFill="1" applyBorder="1" applyAlignment="1">
      <alignment horizontal="center" vertical="center"/>
    </xf>
    <xf numFmtId="0" fontId="26" fillId="4" borderId="1" xfId="59" applyFill="1" applyBorder="1" applyAlignment="1">
      <alignment horizontal="center" vertical="center"/>
    </xf>
    <xf numFmtId="0" fontId="27" fillId="0" borderId="0" xfId="59" applyFont="1" applyFill="1" applyBorder="1" applyAlignment="1">
      <alignment horizontal="center" vertical="center" wrapText="1"/>
    </xf>
    <xf numFmtId="43" fontId="28" fillId="2" borderId="26" xfId="9" applyFont="1" applyFill="1" applyBorder="1" applyAlignment="1">
      <alignment horizontal="center" vertical="center" wrapText="1"/>
    </xf>
    <xf numFmtId="0" fontId="28" fillId="2" borderId="26" xfId="59" applyFont="1" applyFill="1" applyBorder="1" applyAlignment="1">
      <alignment horizontal="center" vertical="center" wrapText="1"/>
    </xf>
    <xf numFmtId="10" fontId="30" fillId="5" borderId="1" xfId="12" applyNumberFormat="1" applyFont="1" applyFill="1" applyBorder="1" applyAlignment="1">
      <alignment horizontal="center" vertical="center"/>
    </xf>
    <xf numFmtId="10" fontId="28" fillId="6" borderId="1" xfId="12" applyNumberFormat="1" applyFont="1" applyFill="1" applyBorder="1" applyAlignment="1">
      <alignment horizontal="center" vertical="center"/>
    </xf>
    <xf numFmtId="43" fontId="28" fillId="4" borderId="29" xfId="9" applyFont="1" applyFill="1" applyBorder="1" applyAlignment="1">
      <alignment horizontal="center" vertical="center" wrapText="1"/>
    </xf>
    <xf numFmtId="0" fontId="28" fillId="4" borderId="29" xfId="59" applyFont="1" applyFill="1" applyBorder="1" applyAlignment="1">
      <alignment horizontal="center" vertical="center" wrapText="1"/>
    </xf>
    <xf numFmtId="10" fontId="28" fillId="5" borderId="26" xfId="12" applyNumberFormat="1" applyFont="1" applyFill="1" applyBorder="1" applyAlignment="1">
      <alignment horizontal="center" vertical="center" wrapText="1"/>
    </xf>
    <xf numFmtId="43" fontId="28" fillId="4" borderId="32" xfId="9" applyFont="1" applyFill="1" applyBorder="1" applyAlignment="1">
      <alignment horizontal="center" vertical="center" wrapText="1"/>
    </xf>
    <xf numFmtId="0" fontId="28" fillId="4" borderId="32" xfId="59" applyFont="1" applyFill="1" applyBorder="1" applyAlignment="1">
      <alignment horizontal="center" vertical="center" wrapText="1"/>
    </xf>
    <xf numFmtId="10" fontId="28" fillId="6" borderId="32" xfId="12" applyNumberFormat="1" applyFont="1" applyFill="1" applyBorder="1" applyAlignment="1">
      <alignment horizontal="center" vertical="center" wrapText="1"/>
    </xf>
    <xf numFmtId="178" fontId="26" fillId="2" borderId="1" xfId="59" applyNumberFormat="1" applyFill="1" applyBorder="1" applyAlignment="1">
      <alignment vertical="center" shrinkToFit="1"/>
    </xf>
    <xf numFmtId="43" fontId="26" fillId="2" borderId="1" xfId="59" applyNumberFormat="1" applyFill="1" applyBorder="1" applyAlignment="1">
      <alignment vertical="center" shrinkToFit="1"/>
    </xf>
    <xf numFmtId="43" fontId="28" fillId="0" borderId="1" xfId="9" applyFont="1" applyFill="1" applyBorder="1" applyAlignment="1">
      <alignment vertical="center" shrinkToFit="1"/>
    </xf>
    <xf numFmtId="43" fontId="30" fillId="0" borderId="1" xfId="9" applyFont="1" applyFill="1" applyBorder="1" applyAlignment="1">
      <alignment vertical="center" shrinkToFit="1"/>
    </xf>
    <xf numFmtId="10" fontId="28" fillId="0" borderId="1" xfId="12" applyNumberFormat="1" applyFont="1" applyFill="1" applyBorder="1" applyAlignment="1">
      <alignment vertical="center" shrinkToFit="1"/>
    </xf>
    <xf numFmtId="0" fontId="30" fillId="0" borderId="1" xfId="9" applyNumberFormat="1" applyFont="1" applyFill="1" applyBorder="1" applyAlignment="1">
      <alignment vertical="center" shrinkToFit="1"/>
    </xf>
    <xf numFmtId="0" fontId="28" fillId="0" borderId="1" xfId="9" applyNumberFormat="1" applyFont="1" applyFill="1" applyBorder="1" applyAlignment="1">
      <alignment vertical="center" shrinkToFit="1"/>
    </xf>
    <xf numFmtId="43" fontId="26" fillId="2" borderId="1" xfId="59" applyNumberFormat="1" applyFill="1" applyBorder="1" applyAlignment="1">
      <alignment horizontal="center" vertical="center" shrinkToFit="1"/>
    </xf>
    <xf numFmtId="0" fontId="30" fillId="5" borderId="22" xfId="59" applyFont="1" applyFill="1" applyBorder="1" applyAlignment="1">
      <alignment horizontal="center" vertical="center" wrapText="1"/>
    </xf>
    <xf numFmtId="0" fontId="30" fillId="6" borderId="33" xfId="59" applyFont="1" applyFill="1" applyBorder="1" applyAlignment="1">
      <alignment horizontal="center" vertical="center" wrapText="1"/>
    </xf>
    <xf numFmtId="43" fontId="28" fillId="2" borderId="29" xfId="9" applyFont="1" applyFill="1" applyBorder="1" applyAlignment="1">
      <alignment horizontal="center" vertical="center" wrapText="1"/>
    </xf>
    <xf numFmtId="43" fontId="30" fillId="5" borderId="26" xfId="9" applyFont="1" applyFill="1" applyBorder="1" applyAlignment="1">
      <alignment horizontal="center" vertical="center" wrapText="1"/>
    </xf>
    <xf numFmtId="0" fontId="30" fillId="5" borderId="26" xfId="59" applyFont="1" applyFill="1" applyBorder="1" applyAlignment="1">
      <alignment horizontal="center" vertical="center" wrapText="1"/>
    </xf>
    <xf numFmtId="43" fontId="28" fillId="2" borderId="32" xfId="9" applyFont="1" applyFill="1" applyBorder="1" applyAlignment="1">
      <alignment horizontal="center" vertical="center" wrapText="1"/>
    </xf>
    <xf numFmtId="43" fontId="30" fillId="6" borderId="32" xfId="9" applyFont="1" applyFill="1" applyBorder="1" applyAlignment="1">
      <alignment horizontal="center" vertical="center" wrapText="1"/>
    </xf>
    <xf numFmtId="0" fontId="30" fillId="6" borderId="32" xfId="59" applyFont="1" applyFill="1" applyBorder="1" applyAlignment="1">
      <alignment horizontal="center" vertical="center" wrapText="1"/>
    </xf>
    <xf numFmtId="43" fontId="28" fillId="2" borderId="1" xfId="9" applyFont="1" applyFill="1" applyBorder="1" applyAlignment="1">
      <alignment vertical="center" shrinkToFit="1"/>
    </xf>
    <xf numFmtId="177" fontId="28" fillId="2" borderId="1" xfId="9" applyNumberFormat="1" applyFont="1" applyFill="1" applyBorder="1" applyAlignment="1">
      <alignment horizontal="center" vertical="center" shrinkToFit="1"/>
    </xf>
    <xf numFmtId="0" fontId="28" fillId="0" borderId="1" xfId="59" applyFont="1" applyFill="1" applyBorder="1" applyAlignment="1">
      <alignment horizontal="center" vertical="center" shrinkToFit="1"/>
    </xf>
    <xf numFmtId="0" fontId="28" fillId="2" borderId="1" xfId="59" applyFont="1" applyFill="1" applyBorder="1" applyAlignment="1">
      <alignment horizontal="center" vertical="center" shrinkToFit="1"/>
    </xf>
    <xf numFmtId="0" fontId="31" fillId="0" borderId="2" xfId="59" applyFont="1" applyFill="1" applyBorder="1" applyAlignment="1">
      <alignment horizontal="center" vertical="center"/>
    </xf>
    <xf numFmtId="0" fontId="30" fillId="6" borderId="23" xfId="59" applyFont="1" applyFill="1" applyBorder="1" applyAlignment="1">
      <alignment horizontal="center" vertical="center" wrapText="1"/>
    </xf>
    <xf numFmtId="0" fontId="30" fillId="2" borderId="26" xfId="59" applyFont="1" applyFill="1" applyBorder="1" applyAlignment="1">
      <alignment horizontal="center" vertical="center" wrapText="1"/>
    </xf>
    <xf numFmtId="0" fontId="30" fillId="4" borderId="32" xfId="59" applyFont="1" applyFill="1" applyBorder="1" applyAlignment="1">
      <alignment horizontal="center" vertical="center" wrapText="1"/>
    </xf>
    <xf numFmtId="0" fontId="30" fillId="2" borderId="32" xfId="59" applyFont="1" applyFill="1" applyBorder="1" applyAlignment="1">
      <alignment horizontal="center" vertical="center" wrapText="1"/>
    </xf>
    <xf numFmtId="0" fontId="30" fillId="5" borderId="1" xfId="59" applyFont="1" applyFill="1" applyBorder="1" applyAlignment="1">
      <alignment horizontal="center" vertical="center" wrapText="1"/>
    </xf>
    <xf numFmtId="2" fontId="28" fillId="2" borderId="1" xfId="59" applyNumberFormat="1" applyFont="1" applyFill="1" applyBorder="1" applyAlignment="1">
      <alignment horizontal="center" vertical="center" shrinkToFit="1"/>
    </xf>
    <xf numFmtId="9" fontId="28" fillId="2" borderId="1" xfId="12" applyFont="1" applyFill="1" applyBorder="1" applyAlignment="1">
      <alignment horizontal="center" vertical="center" shrinkToFit="1"/>
    </xf>
    <xf numFmtId="0" fontId="28" fillId="0" borderId="1" xfId="59" applyFont="1" applyFill="1" applyBorder="1" applyAlignment="1">
      <alignment vertical="center" shrinkToFit="1"/>
    </xf>
    <xf numFmtId="0" fontId="30" fillId="0" borderId="2" xfId="59" applyFont="1" applyFill="1" applyBorder="1" applyAlignment="1">
      <alignment vertical="center"/>
    </xf>
    <xf numFmtId="179" fontId="30" fillId="0" borderId="2" xfId="59" applyNumberFormat="1" applyFont="1" applyFill="1" applyBorder="1" applyAlignment="1">
      <alignment vertical="center"/>
    </xf>
    <xf numFmtId="9" fontId="28" fillId="0" borderId="0" xfId="59" applyNumberFormat="1" applyFont="1" applyFill="1" applyAlignment="1">
      <alignment horizontal="center" vertical="center"/>
    </xf>
    <xf numFmtId="179" fontId="30" fillId="6" borderId="33" xfId="59" applyNumberFormat="1" applyFont="1" applyFill="1" applyBorder="1" applyAlignment="1">
      <alignment horizontal="center" vertical="center" wrapText="1"/>
    </xf>
    <xf numFmtId="9" fontId="30" fillId="5" borderId="26" xfId="59" applyNumberFormat="1" applyFont="1" applyFill="1" applyBorder="1" applyAlignment="1">
      <alignment horizontal="center" vertical="center" wrapText="1"/>
    </xf>
    <xf numFmtId="10" fontId="30" fillId="5" borderId="1" xfId="12" applyNumberFormat="1" applyFont="1" applyFill="1" applyBorder="1" applyAlignment="1">
      <alignment horizontal="center" vertical="center" wrapText="1"/>
    </xf>
    <xf numFmtId="179" fontId="30" fillId="5" borderId="26" xfId="59" applyNumberFormat="1" applyFont="1" applyFill="1" applyBorder="1" applyAlignment="1">
      <alignment horizontal="center" vertical="center" wrapText="1"/>
    </xf>
    <xf numFmtId="9" fontId="30" fillId="6" borderId="29" xfId="59" applyNumberFormat="1" applyFont="1" applyFill="1" applyBorder="1" applyAlignment="1">
      <alignment horizontal="center" vertical="center" wrapText="1"/>
    </xf>
    <xf numFmtId="0" fontId="30" fillId="6" borderId="29" xfId="59" applyFont="1" applyFill="1" applyBorder="1" applyAlignment="1">
      <alignment horizontal="center" vertical="center" wrapText="1"/>
    </xf>
    <xf numFmtId="179" fontId="30" fillId="6" borderId="32" xfId="59" applyNumberFormat="1" applyFont="1" applyFill="1" applyBorder="1" applyAlignment="1">
      <alignment horizontal="center" vertical="center" wrapText="1"/>
    </xf>
    <xf numFmtId="9" fontId="30" fillId="6" borderId="32" xfId="59" applyNumberFormat="1" applyFont="1" applyFill="1" applyBorder="1" applyAlignment="1">
      <alignment horizontal="center" vertical="center" wrapText="1"/>
    </xf>
    <xf numFmtId="10" fontId="30" fillId="6" borderId="1" xfId="12" applyNumberFormat="1" applyFont="1" applyFill="1" applyBorder="1" applyAlignment="1">
      <alignment horizontal="center" vertical="center" wrapText="1"/>
    </xf>
    <xf numFmtId="179" fontId="28" fillId="2" borderId="1" xfId="59" applyNumberFormat="1" applyFont="1" applyFill="1" applyBorder="1" applyAlignment="1">
      <alignment horizontal="center" vertical="center" shrinkToFit="1"/>
    </xf>
    <xf numFmtId="9" fontId="28" fillId="2" borderId="1" xfId="59" applyNumberFormat="1" applyFont="1" applyFill="1" applyBorder="1" applyAlignment="1">
      <alignment horizontal="center" vertical="center" shrinkToFit="1"/>
    </xf>
    <xf numFmtId="43" fontId="30" fillId="2" borderId="26" xfId="9" applyFont="1" applyFill="1" applyBorder="1" applyAlignment="1">
      <alignment horizontal="center" vertical="center" wrapText="1"/>
    </xf>
    <xf numFmtId="0" fontId="30" fillId="2" borderId="1" xfId="59" applyFont="1" applyFill="1" applyBorder="1" applyAlignment="1">
      <alignment horizontal="center" vertical="center" wrapText="1"/>
    </xf>
    <xf numFmtId="0" fontId="30" fillId="4" borderId="1" xfId="59" applyFont="1" applyFill="1" applyBorder="1" applyAlignment="1">
      <alignment horizontal="center" vertical="center" wrapText="1"/>
    </xf>
    <xf numFmtId="43" fontId="30" fillId="4" borderId="29" xfId="9" applyFont="1" applyFill="1" applyBorder="1" applyAlignment="1">
      <alignment horizontal="center" vertical="center" wrapText="1"/>
    </xf>
    <xf numFmtId="43" fontId="30" fillId="4" borderId="32" xfId="9" applyFont="1" applyFill="1" applyBorder="1" applyAlignment="1">
      <alignment horizontal="center" vertical="center" wrapText="1"/>
    </xf>
    <xf numFmtId="0" fontId="28" fillId="2" borderId="32" xfId="59" applyFont="1" applyFill="1" applyBorder="1" applyAlignment="1">
      <alignment horizontal="center" vertical="center" wrapText="1"/>
    </xf>
    <xf numFmtId="9" fontId="28" fillId="2" borderId="1" xfId="12" applyNumberFormat="1" applyFont="1" applyFill="1" applyBorder="1" applyAlignment="1">
      <alignment horizontal="center" vertical="center" shrinkToFit="1"/>
    </xf>
    <xf numFmtId="43" fontId="28" fillId="0" borderId="0" xfId="59" applyNumberFormat="1" applyFont="1" applyFill="1" applyAlignment="1">
      <alignment vertical="center"/>
    </xf>
    <xf numFmtId="0" fontId="30" fillId="4" borderId="29" xfId="59" applyFont="1" applyFill="1" applyBorder="1" applyAlignment="1">
      <alignment horizontal="center" vertical="center" wrapText="1"/>
    </xf>
    <xf numFmtId="43" fontId="28" fillId="2" borderId="1" xfId="9" applyFont="1" applyFill="1" applyBorder="1" applyAlignment="1">
      <alignment horizontal="center" vertical="center" shrinkToFit="1"/>
    </xf>
    <xf numFmtId="0" fontId="26" fillId="0" borderId="1" xfId="59" applyFill="1" applyBorder="1" applyAlignment="1">
      <alignment horizontal="center" vertical="center" shrinkToFit="1"/>
    </xf>
    <xf numFmtId="0" fontId="26" fillId="2" borderId="1" xfId="59" applyFont="1" applyFill="1" applyBorder="1" applyAlignment="1">
      <alignment horizontal="left" vertical="center" shrinkToFit="1"/>
    </xf>
    <xf numFmtId="0" fontId="32" fillId="2" borderId="1" xfId="59" applyFont="1" applyFill="1" applyBorder="1" applyAlignment="1">
      <alignment horizontal="left" vertical="center" shrinkToFit="1"/>
    </xf>
    <xf numFmtId="0" fontId="26" fillId="2" borderId="1" xfId="59" applyFill="1" applyBorder="1" applyAlignment="1">
      <alignment horizontal="left" vertical="center" shrinkToFit="1"/>
    </xf>
    <xf numFmtId="0" fontId="26" fillId="2" borderId="22" xfId="59" applyFill="1" applyBorder="1" applyAlignment="1">
      <alignment horizontal="center" vertical="center" shrinkToFit="1"/>
    </xf>
    <xf numFmtId="0" fontId="26" fillId="2" borderId="33" xfId="59" applyFill="1" applyBorder="1" applyAlignment="1">
      <alignment horizontal="center" vertical="center" shrinkToFit="1"/>
    </xf>
    <xf numFmtId="0" fontId="26" fillId="2" borderId="23" xfId="59" applyFill="1" applyBorder="1" applyAlignment="1">
      <alignment horizontal="center" vertical="center" shrinkToFit="1"/>
    </xf>
    <xf numFmtId="0" fontId="33" fillId="0" borderId="0" xfId="59" applyFont="1" applyAlignment="1">
      <alignment vertical="center"/>
    </xf>
    <xf numFmtId="179" fontId="26" fillId="2" borderId="1" xfId="59" applyNumberFormat="1" applyFill="1" applyBorder="1" applyAlignment="1">
      <alignment horizontal="right" vertical="center" shrinkToFit="1"/>
    </xf>
    <xf numFmtId="0" fontId="26" fillId="0" borderId="0" xfId="59" applyAlignment="1">
      <alignment horizontal="center" vertical="center"/>
    </xf>
    <xf numFmtId="0" fontId="26" fillId="2" borderId="1" xfId="59" applyFill="1" applyBorder="1" applyAlignment="1">
      <alignment vertical="center" shrinkToFit="1"/>
    </xf>
    <xf numFmtId="0" fontId="28" fillId="2" borderId="1" xfId="59" applyFont="1" applyFill="1" applyBorder="1" applyAlignment="1">
      <alignment vertical="center" shrinkToFit="1"/>
    </xf>
    <xf numFmtId="10" fontId="28" fillId="2" borderId="1" xfId="12" applyNumberFormat="1" applyFont="1" applyFill="1" applyBorder="1" applyAlignment="1">
      <alignment vertical="center" shrinkToFit="1"/>
    </xf>
    <xf numFmtId="43" fontId="30" fillId="0" borderId="0" xfId="9" applyFont="1" applyAlignment="1">
      <alignment vertical="center"/>
    </xf>
    <xf numFmtId="43" fontId="28" fillId="2" borderId="1" xfId="59" applyNumberFormat="1" applyFont="1" applyFill="1" applyBorder="1" applyAlignment="1">
      <alignment vertical="center" shrinkToFit="1"/>
    </xf>
    <xf numFmtId="10" fontId="28" fillId="2" borderId="1" xfId="12" applyNumberFormat="1" applyFont="1" applyFill="1" applyBorder="1" applyAlignment="1">
      <alignment horizontal="center" vertical="center" shrinkToFit="1"/>
    </xf>
    <xf numFmtId="0" fontId="29" fillId="2" borderId="0" xfId="59" applyFont="1" applyFill="1" applyAlignment="1">
      <alignment horizontal="center" vertical="center"/>
    </xf>
    <xf numFmtId="0" fontId="29" fillId="4" borderId="0" xfId="59" applyFont="1" applyFill="1" applyAlignment="1">
      <alignment horizontal="center" vertical="center"/>
    </xf>
    <xf numFmtId="0" fontId="26" fillId="2" borderId="1" xfId="59" applyFont="1" applyFill="1" applyBorder="1" applyAlignment="1">
      <alignment horizontal="center" vertical="center"/>
    </xf>
    <xf numFmtId="0" fontId="26" fillId="2" borderId="1" xfId="59" applyFill="1" applyBorder="1" applyAlignment="1">
      <alignment horizontal="center" vertical="center" wrapText="1"/>
    </xf>
    <xf numFmtId="0" fontId="26" fillId="4" borderId="1" xfId="59" applyFill="1" applyBorder="1" applyAlignment="1">
      <alignment horizontal="center" vertical="center" wrapText="1"/>
    </xf>
    <xf numFmtId="0" fontId="26" fillId="2" borderId="1" xfId="59" applyFont="1" applyFill="1" applyBorder="1" applyAlignment="1">
      <alignment horizontal="center" vertical="center" shrinkToFit="1"/>
    </xf>
    <xf numFmtId="0" fontId="26" fillId="0" borderId="1" xfId="59" applyFont="1" applyBorder="1" applyAlignment="1">
      <alignment horizontal="center" vertical="center" shrinkToFit="1"/>
    </xf>
    <xf numFmtId="178" fontId="26" fillId="0" borderId="1" xfId="59" applyNumberFormat="1" applyFill="1" applyBorder="1" applyAlignment="1">
      <alignment horizontal="right" vertical="center" shrinkToFit="1"/>
    </xf>
    <xf numFmtId="0" fontId="26" fillId="4" borderId="33" xfId="59" applyFill="1" applyBorder="1" applyAlignment="1">
      <alignment horizontal="center" vertical="center" shrinkToFit="1"/>
    </xf>
    <xf numFmtId="0" fontId="26" fillId="4" borderId="23" xfId="59" applyFill="1" applyBorder="1" applyAlignment="1">
      <alignment horizontal="center" vertical="center" shrinkToFit="1"/>
    </xf>
    <xf numFmtId="0" fontId="26" fillId="7" borderId="1" xfId="59" applyFill="1" applyBorder="1" applyAlignment="1">
      <alignment horizontal="center" vertical="center" shrinkToFit="1"/>
    </xf>
    <xf numFmtId="178" fontId="26" fillId="7" borderId="1" xfId="59" applyNumberFormat="1" applyFill="1" applyBorder="1" applyAlignment="1">
      <alignment horizontal="right" vertical="center" shrinkToFit="1"/>
    </xf>
    <xf numFmtId="0" fontId="26" fillId="2" borderId="1" xfId="59" applyFont="1" applyFill="1" applyBorder="1" applyAlignment="1">
      <alignment horizontal="center" vertical="center" wrapText="1"/>
    </xf>
    <xf numFmtId="1" fontId="26" fillId="0" borderId="1" xfId="59" applyNumberFormat="1" applyFill="1" applyBorder="1" applyAlignment="1">
      <alignment horizontal="center" vertical="center" shrinkToFit="1"/>
    </xf>
    <xf numFmtId="0" fontId="26" fillId="4" borderId="2" xfId="59" applyFill="1" applyBorder="1" applyAlignment="1">
      <alignment horizontal="right" vertical="center"/>
    </xf>
    <xf numFmtId="0" fontId="27" fillId="0" borderId="27" xfId="59" applyFont="1" applyFill="1" applyBorder="1" applyAlignment="1">
      <alignment horizontal="center" vertical="center" wrapText="1"/>
    </xf>
    <xf numFmtId="43" fontId="30" fillId="2" borderId="22" xfId="9" applyFont="1" applyFill="1" applyBorder="1" applyAlignment="1">
      <alignment horizontal="center" vertical="center" wrapText="1"/>
    </xf>
    <xf numFmtId="43" fontId="28" fillId="4" borderId="33" xfId="9" applyFont="1" applyFill="1" applyBorder="1" applyAlignment="1">
      <alignment horizontal="center" vertical="center" wrapText="1"/>
    </xf>
    <xf numFmtId="43" fontId="28" fillId="4" borderId="23" xfId="9" applyFont="1" applyFill="1" applyBorder="1" applyAlignment="1">
      <alignment horizontal="center" vertical="center" wrapText="1"/>
    </xf>
    <xf numFmtId="43" fontId="30" fillId="2" borderId="1" xfId="9" applyFont="1" applyFill="1" applyBorder="1" applyAlignment="1">
      <alignment horizontal="center" vertical="center" wrapText="1"/>
    </xf>
    <xf numFmtId="0" fontId="34" fillId="8" borderId="1" xfId="0" applyFont="1" applyFill="1" applyBorder="1" applyAlignment="1">
      <alignment horizontal="center" vertical="center"/>
    </xf>
    <xf numFmtId="43" fontId="28" fillId="2" borderId="1" xfId="9" applyNumberFormat="1" applyFont="1" applyFill="1" applyBorder="1" applyAlignment="1">
      <alignment vertical="center" shrinkToFit="1"/>
    </xf>
    <xf numFmtId="0" fontId="26" fillId="0" borderId="0" xfId="59" applyFont="1" applyFill="1" applyAlignment="1">
      <alignment vertical="center"/>
    </xf>
    <xf numFmtId="0" fontId="35" fillId="7" borderId="1" xfId="59" applyFont="1" applyFill="1" applyBorder="1" applyAlignment="1">
      <alignment horizontal="center" vertical="center" shrinkToFit="1"/>
    </xf>
    <xf numFmtId="0" fontId="34" fillId="0" borderId="1" xfId="0" applyFont="1" applyFill="1" applyBorder="1" applyAlignment="1">
      <alignment horizontal="center" vertical="center" wrapText="1"/>
    </xf>
    <xf numFmtId="0" fontId="26" fillId="0" borderId="1" xfId="59" applyFont="1" applyFill="1" applyBorder="1" applyAlignment="1">
      <alignment horizontal="center" vertical="center"/>
    </xf>
    <xf numFmtId="0" fontId="34" fillId="8" borderId="1" xfId="0" applyFont="1" applyFill="1" applyBorder="1" applyAlignment="1">
      <alignment horizontal="center" vertical="center" wrapText="1"/>
    </xf>
    <xf numFmtId="0" fontId="35" fillId="0" borderId="1" xfId="59" applyFont="1" applyFill="1" applyBorder="1" applyAlignment="1">
      <alignment vertical="center"/>
    </xf>
    <xf numFmtId="0" fontId="35" fillId="0" borderId="1" xfId="59" applyFont="1" applyFill="1" applyBorder="1" applyAlignment="1">
      <alignment horizontal="center" vertical="center"/>
    </xf>
    <xf numFmtId="178" fontId="26" fillId="0" borderId="0" xfId="59" applyNumberFormat="1" applyFill="1" applyAlignment="1">
      <alignment vertical="center"/>
    </xf>
    <xf numFmtId="0" fontId="26" fillId="0" borderId="0" xfId="52" applyFill="1" applyAlignment="1">
      <alignment vertical="center"/>
    </xf>
    <xf numFmtId="0" fontId="26" fillId="0" borderId="0" xfId="52" applyAlignment="1">
      <alignment vertical="center" shrinkToFit="1"/>
    </xf>
    <xf numFmtId="0" fontId="26" fillId="0" borderId="0" xfId="52" applyAlignment="1">
      <alignment horizontal="center" vertical="center"/>
    </xf>
    <xf numFmtId="0" fontId="26" fillId="0" borderId="0" xfId="52" applyAlignment="1">
      <alignment vertical="center"/>
    </xf>
    <xf numFmtId="0" fontId="26" fillId="0" borderId="0" xfId="52" applyAlignment="1">
      <alignment vertical="center" wrapText="1"/>
    </xf>
    <xf numFmtId="0" fontId="36" fillId="0" borderId="0" xfId="52" applyFont="1" applyAlignment="1">
      <alignment horizontal="center" vertical="center"/>
    </xf>
    <xf numFmtId="0" fontId="26" fillId="0" borderId="0" xfId="52" applyFont="1" applyAlignment="1">
      <alignment horizontal="center" vertical="center"/>
    </xf>
    <xf numFmtId="0" fontId="26" fillId="0" borderId="2" xfId="52" applyFont="1" applyBorder="1" applyAlignment="1">
      <alignment horizontal="left" vertical="center"/>
    </xf>
    <xf numFmtId="0" fontId="26" fillId="0" borderId="2" xfId="52" applyBorder="1" applyAlignment="1">
      <alignment horizontal="left" vertical="center"/>
    </xf>
    <xf numFmtId="0" fontId="26" fillId="0" borderId="1" xfId="52" applyBorder="1" applyAlignment="1">
      <alignment horizontal="center" vertical="center"/>
    </xf>
    <xf numFmtId="0" fontId="26" fillId="0" borderId="1" xfId="52" applyBorder="1" applyAlignment="1">
      <alignment horizontal="center" vertical="center" shrinkToFit="1"/>
    </xf>
    <xf numFmtId="0" fontId="26" fillId="0" borderId="1" xfId="52" applyBorder="1" applyAlignment="1">
      <alignment horizontal="center" vertical="center" wrapText="1"/>
    </xf>
    <xf numFmtId="0" fontId="26" fillId="0" borderId="26" xfId="52" applyBorder="1" applyAlignment="1">
      <alignment horizontal="center" vertical="center" wrapText="1" shrinkToFit="1"/>
    </xf>
    <xf numFmtId="0" fontId="26" fillId="0" borderId="26" xfId="52" applyBorder="1" applyAlignment="1">
      <alignment horizontal="center" vertical="center" wrapText="1"/>
    </xf>
    <xf numFmtId="0" fontId="26" fillId="0" borderId="32" xfId="52" applyBorder="1" applyAlignment="1">
      <alignment horizontal="center" vertical="center" wrapText="1" shrinkToFit="1"/>
    </xf>
    <xf numFmtId="0" fontId="26" fillId="0" borderId="1" xfId="52" applyFill="1" applyBorder="1" applyAlignment="1">
      <alignment horizontal="center" vertical="center" shrinkToFit="1"/>
    </xf>
    <xf numFmtId="0" fontId="26" fillId="0" borderId="1" xfId="52" applyFill="1" applyBorder="1" applyAlignment="1">
      <alignment horizontal="left" vertical="center" shrinkToFit="1"/>
    </xf>
    <xf numFmtId="0" fontId="26" fillId="0" borderId="1" xfId="52" applyFill="1" applyBorder="1" applyAlignment="1">
      <alignment horizontal="center" vertical="center"/>
    </xf>
    <xf numFmtId="0" fontId="26" fillId="0" borderId="34" xfId="52" applyFont="1" applyBorder="1" applyAlignment="1">
      <alignment horizontal="left" vertical="center" shrinkToFit="1"/>
    </xf>
    <xf numFmtId="0" fontId="26" fillId="0" borderId="34" xfId="52" applyBorder="1" applyAlignment="1">
      <alignment horizontal="left" vertical="center" shrinkToFit="1"/>
    </xf>
    <xf numFmtId="0" fontId="26" fillId="0" borderId="0" xfId="52" applyAlignment="1">
      <alignment horizontal="left" vertical="center" shrinkToFit="1"/>
    </xf>
    <xf numFmtId="0" fontId="26" fillId="0" borderId="0" xfId="52" applyFont="1" applyAlignment="1">
      <alignment horizontal="left" vertical="justify" wrapText="1" shrinkToFit="1"/>
    </xf>
    <xf numFmtId="0" fontId="26" fillId="0" borderId="0" xfId="52" applyAlignment="1">
      <alignment horizontal="left" vertical="justify" wrapText="1" shrinkToFit="1"/>
    </xf>
    <xf numFmtId="0" fontId="26" fillId="0" borderId="0" xfId="52" applyFont="1" applyAlignment="1">
      <alignment vertical="center"/>
    </xf>
    <xf numFmtId="0" fontId="26" fillId="0" borderId="0" xfId="52" applyFont="1" applyAlignment="1">
      <alignment vertical="center" shrinkToFit="1"/>
    </xf>
    <xf numFmtId="0" fontId="26" fillId="0" borderId="2" xfId="52" applyBorder="1" applyAlignment="1">
      <alignment horizontal="right" vertical="center" wrapText="1"/>
    </xf>
    <xf numFmtId="0" fontId="26" fillId="0" borderId="1" xfId="52" applyFill="1" applyBorder="1" applyAlignment="1">
      <alignment vertical="center" shrinkToFit="1"/>
    </xf>
    <xf numFmtId="0" fontId="26" fillId="0" borderId="1" xfId="52" applyFill="1" applyBorder="1" applyAlignment="1">
      <alignment vertical="center" wrapText="1"/>
    </xf>
    <xf numFmtId="0" fontId="15" fillId="0" borderId="0" xfId="0" applyFont="1" applyAlignment="1">
      <alignment horizontal="center" vertical="center"/>
    </xf>
    <xf numFmtId="0" fontId="37" fillId="0" borderId="0" xfId="0" applyFont="1" applyAlignment="1">
      <alignment vertical="center"/>
    </xf>
    <xf numFmtId="0" fontId="37" fillId="0" borderId="0" xfId="0" applyFont="1" applyAlignment="1">
      <alignment horizontal="left" vertical="distributed" wrapText="1"/>
    </xf>
    <xf numFmtId="0" fontId="37" fillId="0" borderId="0" xfId="0" applyFont="1" applyAlignment="1">
      <alignment horizontal="centerContinuous" vertical="center"/>
    </xf>
    <xf numFmtId="0" fontId="29" fillId="7" borderId="0" xfId="61" applyFont="1" applyFill="1" applyBorder="1" applyAlignment="1">
      <alignment horizontal="center" vertical="center"/>
    </xf>
    <xf numFmtId="0" fontId="27" fillId="0" borderId="0" xfId="61" applyFont="1" applyFill="1" applyBorder="1" applyAlignment="1">
      <alignment horizontal="center" vertical="center"/>
    </xf>
    <xf numFmtId="0" fontId="27" fillId="7" borderId="0" xfId="61" applyFont="1" applyFill="1" applyBorder="1" applyAlignment="1">
      <alignment vertical="center"/>
    </xf>
    <xf numFmtId="0" fontId="27" fillId="7" borderId="0" xfId="61" applyFont="1" applyFill="1" applyBorder="1" applyAlignment="1">
      <alignment horizontal="center" vertical="center"/>
    </xf>
    <xf numFmtId="0" fontId="38" fillId="7" borderId="1" xfId="44" applyNumberFormat="1" applyFont="1" applyFill="1" applyBorder="1" applyAlignment="1" applyProtection="1">
      <alignment horizontal="center" vertical="center" wrapText="1"/>
      <protection locked="0"/>
    </xf>
    <xf numFmtId="0" fontId="39" fillId="7" borderId="1" xfId="44" applyNumberFormat="1" applyFont="1" applyFill="1" applyBorder="1" applyAlignment="1" applyProtection="1">
      <alignment horizontal="center" vertical="center"/>
      <protection locked="0"/>
    </xf>
    <xf numFmtId="180" fontId="40" fillId="7" borderId="1" xfId="44" applyNumberFormat="1" applyFont="1" applyFill="1" applyBorder="1" applyAlignment="1" applyProtection="1">
      <alignment horizontal="center" vertical="center"/>
      <protection locked="0"/>
    </xf>
    <xf numFmtId="0" fontId="39" fillId="7" borderId="22" xfId="44" applyNumberFormat="1" applyFont="1" applyFill="1" applyBorder="1" applyAlignment="1" applyProtection="1">
      <alignment horizontal="center" vertical="center"/>
      <protection locked="0"/>
    </xf>
    <xf numFmtId="0" fontId="39" fillId="7" borderId="33" xfId="44" applyNumberFormat="1" applyFont="1" applyFill="1" applyBorder="1" applyAlignment="1" applyProtection="1">
      <alignment horizontal="center" vertical="center"/>
      <protection locked="0"/>
    </xf>
    <xf numFmtId="0" fontId="38" fillId="7" borderId="1" xfId="44" applyNumberFormat="1" applyFont="1" applyFill="1" applyBorder="1" applyAlignment="1" applyProtection="1">
      <alignment horizontal="center" vertical="center"/>
      <protection locked="0"/>
    </xf>
    <xf numFmtId="0" fontId="39" fillId="7" borderId="23" xfId="44" applyNumberFormat="1" applyFont="1" applyFill="1" applyBorder="1" applyAlignment="1" applyProtection="1">
      <alignment horizontal="center" vertical="center"/>
      <protection locked="0"/>
    </xf>
    <xf numFmtId="0" fontId="38" fillId="7" borderId="26" xfId="44" applyNumberFormat="1" applyFont="1" applyFill="1" applyBorder="1" applyAlignment="1" applyProtection="1">
      <alignment horizontal="center" vertical="center"/>
      <protection locked="0"/>
    </xf>
    <xf numFmtId="0" fontId="39" fillId="7" borderId="26" xfId="44" applyNumberFormat="1" applyFont="1" applyFill="1" applyBorder="1" applyAlignment="1" applyProtection="1">
      <alignment horizontal="center" vertical="center"/>
      <protection locked="0"/>
    </xf>
    <xf numFmtId="0" fontId="38" fillId="7" borderId="22" xfId="44" applyNumberFormat="1" applyFont="1" applyFill="1" applyBorder="1" applyAlignment="1" applyProtection="1">
      <alignment horizontal="left" vertical="center"/>
      <protection locked="0"/>
    </xf>
    <xf numFmtId="0" fontId="38" fillId="7" borderId="23" xfId="44" applyNumberFormat="1" applyFont="1" applyFill="1" applyBorder="1" applyAlignment="1" applyProtection="1">
      <alignment horizontal="left" vertical="center"/>
      <protection locked="0"/>
    </xf>
    <xf numFmtId="0" fontId="27" fillId="7" borderId="33" xfId="44" applyNumberFormat="1" applyFont="1" applyFill="1" applyBorder="1" applyAlignment="1" applyProtection="1">
      <alignment vertical="center"/>
      <protection locked="0"/>
    </xf>
    <xf numFmtId="0" fontId="38" fillId="7" borderId="32" xfId="44" applyNumberFormat="1" applyFont="1" applyFill="1" applyBorder="1" applyAlignment="1" applyProtection="1">
      <alignment vertical="center"/>
      <protection locked="0"/>
    </xf>
    <xf numFmtId="0" fontId="34" fillId="7" borderId="32" xfId="44" applyNumberFormat="1" applyFont="1" applyFill="1" applyBorder="1" applyAlignment="1" applyProtection="1">
      <alignment vertical="center"/>
      <protection locked="0"/>
    </xf>
    <xf numFmtId="0" fontId="27" fillId="7" borderId="1" xfId="44" applyNumberFormat="1" applyFont="1" applyFill="1" applyBorder="1" applyAlignment="1" applyProtection="1">
      <alignment horizontal="center" vertical="center"/>
      <protection locked="0"/>
    </xf>
    <xf numFmtId="0" fontId="39" fillId="7" borderId="1" xfId="44" applyNumberFormat="1" applyFont="1" applyFill="1" applyBorder="1" applyAlignment="1" applyProtection="1">
      <alignment horizontal="center" vertical="center" wrapText="1"/>
      <protection locked="0"/>
    </xf>
    <xf numFmtId="0" fontId="38" fillId="7" borderId="22" xfId="44" applyNumberFormat="1" applyFont="1" applyFill="1" applyBorder="1" applyAlignment="1" applyProtection="1">
      <alignment horizontal="center" vertical="center"/>
      <protection locked="0"/>
    </xf>
    <xf numFmtId="0" fontId="38" fillId="7" borderId="33" xfId="44" applyNumberFormat="1" applyFont="1" applyFill="1" applyBorder="1" applyAlignment="1" applyProtection="1">
      <alignment horizontal="center" vertical="center"/>
      <protection locked="0"/>
    </xf>
    <xf numFmtId="0" fontId="38" fillId="7" borderId="29" xfId="44" applyNumberFormat="1" applyFont="1" applyFill="1" applyBorder="1" applyAlignment="1" applyProtection="1">
      <alignment horizontal="center" vertical="center"/>
      <protection locked="0"/>
    </xf>
    <xf numFmtId="0" fontId="39" fillId="7" borderId="1" xfId="44" applyNumberFormat="1" applyFont="1" applyFill="1" applyBorder="1" applyAlignment="1" applyProtection="1">
      <alignment vertical="center"/>
      <protection locked="0"/>
    </xf>
    <xf numFmtId="0" fontId="27" fillId="7" borderId="1" xfId="44" applyNumberFormat="1" applyFont="1" applyFill="1" applyBorder="1" applyAlignment="1" applyProtection="1">
      <alignment horizontal="center" vertical="center" wrapText="1"/>
      <protection locked="0"/>
    </xf>
    <xf numFmtId="0" fontId="27" fillId="7" borderId="1" xfId="44" applyNumberFormat="1" applyFont="1" applyFill="1" applyBorder="1" applyAlignment="1" applyProtection="1">
      <alignment vertical="center"/>
      <protection locked="0"/>
    </xf>
    <xf numFmtId="0" fontId="38" fillId="7" borderId="32" xfId="44" applyNumberFormat="1" applyFont="1" applyFill="1" applyBorder="1" applyAlignment="1" applyProtection="1">
      <alignment horizontal="center" vertical="center"/>
      <protection locked="0"/>
    </xf>
    <xf numFmtId="0" fontId="27" fillId="7" borderId="32" xfId="44" applyNumberFormat="1" applyFont="1" applyFill="1" applyBorder="1" applyAlignment="1" applyProtection="1">
      <alignment horizontal="left" vertical="center"/>
      <protection locked="0"/>
    </xf>
    <xf numFmtId="0" fontId="27" fillId="7" borderId="1" xfId="44" applyNumberFormat="1" applyFont="1" applyFill="1" applyBorder="1" applyAlignment="1" applyProtection="1">
      <alignment horizontal="left" vertical="center"/>
      <protection locked="0"/>
    </xf>
    <xf numFmtId="0" fontId="41" fillId="7" borderId="1" xfId="44" applyNumberFormat="1" applyFont="1" applyFill="1" applyBorder="1" applyAlignment="1" applyProtection="1">
      <alignment vertical="center" wrapText="1"/>
      <protection locked="0"/>
    </xf>
    <xf numFmtId="0" fontId="39" fillId="7" borderId="1" xfId="44" applyNumberFormat="1" applyFont="1" applyFill="1" applyBorder="1" applyAlignment="1" applyProtection="1">
      <alignment vertical="center" wrapText="1"/>
      <protection locked="0"/>
    </xf>
    <xf numFmtId="0" fontId="42" fillId="7" borderId="1" xfId="44" applyNumberFormat="1" applyFont="1" applyFill="1" applyBorder="1" applyAlignment="1" applyProtection="1">
      <alignment vertical="center" wrapText="1"/>
      <protection locked="0"/>
    </xf>
    <xf numFmtId="0" fontId="39" fillId="7" borderId="1" xfId="44" applyNumberFormat="1" applyFont="1" applyFill="1" applyBorder="1" applyAlignment="1" applyProtection="1">
      <alignment horizontal="left" vertical="center" wrapText="1"/>
      <protection locked="0"/>
    </xf>
    <xf numFmtId="0" fontId="39" fillId="7" borderId="1" xfId="44" applyNumberFormat="1" applyFont="1" applyFill="1" applyBorder="1" applyAlignment="1" applyProtection="1">
      <alignment horizontal="left" vertical="center"/>
      <protection locked="0"/>
    </xf>
    <xf numFmtId="0" fontId="39" fillId="0" borderId="0" xfId="44" applyNumberFormat="1" applyFont="1" applyFill="1" applyBorder="1" applyAlignment="1" applyProtection="1">
      <alignment vertical="center"/>
      <protection locked="0"/>
    </xf>
    <xf numFmtId="0" fontId="27" fillId="0" borderId="0" xfId="44" applyNumberFormat="1" applyFont="1" applyFill="1" applyBorder="1" applyAlignment="1" applyProtection="1">
      <alignment vertical="center"/>
      <protection locked="0"/>
    </xf>
    <xf numFmtId="0" fontId="27" fillId="7" borderId="0" xfId="44" applyNumberFormat="1" applyFont="1" applyFill="1" applyBorder="1" applyAlignment="1" applyProtection="1">
      <alignment vertical="center"/>
      <protection locked="0"/>
    </xf>
    <xf numFmtId="0" fontId="39" fillId="7" borderId="0" xfId="44" applyNumberFormat="1" applyFont="1" applyFill="1" applyBorder="1" applyAlignment="1" applyProtection="1">
      <alignment vertical="center"/>
      <protection locked="0"/>
    </xf>
    <xf numFmtId="0" fontId="27" fillId="7" borderId="0" xfId="61" applyFont="1" applyFill="1" applyBorder="1" applyAlignment="1">
      <alignment horizontal="left" vertical="center"/>
    </xf>
    <xf numFmtId="0" fontId="27" fillId="7" borderId="0" xfId="0" applyFont="1" applyFill="1" applyBorder="1" applyAlignment="1">
      <alignment vertical="center"/>
    </xf>
    <xf numFmtId="0" fontId="27" fillId="0" borderId="0" xfId="61" applyFont="1" applyFill="1" applyBorder="1" applyAlignment="1">
      <alignment vertical="center"/>
    </xf>
    <xf numFmtId="176" fontId="40" fillId="7" borderId="1" xfId="25" applyFont="1" applyFill="1" applyBorder="1" applyAlignment="1" applyProtection="1">
      <alignment horizontal="center" vertical="center"/>
      <protection locked="0"/>
    </xf>
    <xf numFmtId="0" fontId="27" fillId="7" borderId="23" xfId="44" applyNumberFormat="1" applyFont="1" applyFill="1" applyBorder="1" applyAlignment="1" applyProtection="1">
      <alignment vertical="center"/>
      <protection locked="0"/>
    </xf>
    <xf numFmtId="0" fontId="38" fillId="7" borderId="23" xfId="44" applyNumberFormat="1" applyFont="1" applyFill="1" applyBorder="1" applyAlignment="1" applyProtection="1">
      <alignment horizontal="center" vertical="center"/>
      <protection locked="0"/>
    </xf>
    <xf numFmtId="0" fontId="26" fillId="0" borderId="0" xfId="58" applyAlignment="1">
      <alignment horizontal="center" vertical="center"/>
    </xf>
    <xf numFmtId="0" fontId="26" fillId="0" borderId="0" xfId="58" applyAlignment="1">
      <alignment horizontal="left" vertical="center"/>
    </xf>
    <xf numFmtId="0" fontId="26" fillId="0" borderId="0" xfId="58">
      <alignment vertical="center"/>
    </xf>
    <xf numFmtId="181" fontId="43" fillId="0" borderId="0" xfId="58" applyNumberFormat="1" applyFont="1" applyAlignment="1">
      <alignment horizontal="center" vertical="center"/>
    </xf>
    <xf numFmtId="181" fontId="43" fillId="0" borderId="0" xfId="58" applyNumberFormat="1" applyFont="1" applyAlignment="1">
      <alignment horizontal="left" vertical="center"/>
    </xf>
    <xf numFmtId="181" fontId="26" fillId="0" borderId="0" xfId="58" applyNumberFormat="1" applyAlignment="1">
      <alignment horizontal="left" vertical="center"/>
    </xf>
    <xf numFmtId="181" fontId="26" fillId="0" borderId="2" xfId="58" applyNumberFormat="1" applyBorder="1" applyAlignment="1">
      <alignment horizontal="left" vertical="center"/>
    </xf>
    <xf numFmtId="181" fontId="26" fillId="0" borderId="2" xfId="58" applyNumberFormat="1" applyBorder="1" applyAlignment="1">
      <alignment horizontal="center" vertical="center"/>
    </xf>
    <xf numFmtId="181" fontId="26" fillId="0" borderId="1" xfId="58" applyNumberFormat="1" applyBorder="1" applyAlignment="1">
      <alignment horizontal="center" vertical="center" wrapText="1"/>
    </xf>
    <xf numFmtId="181" fontId="26" fillId="0" borderId="26" xfId="58" applyNumberFormat="1" applyBorder="1" applyAlignment="1">
      <alignment horizontal="center" vertical="center" wrapText="1"/>
    </xf>
    <xf numFmtId="181" fontId="26" fillId="0" borderId="32" xfId="58" applyNumberFormat="1" applyBorder="1" applyAlignment="1">
      <alignment horizontal="center" vertical="center" wrapText="1"/>
    </xf>
    <xf numFmtId="181" fontId="26" fillId="0" borderId="1" xfId="58" applyNumberFormat="1" applyBorder="1" applyAlignment="1">
      <alignment horizontal="left" vertical="center" wrapText="1"/>
    </xf>
    <xf numFmtId="181" fontId="26" fillId="0" borderId="0" xfId="58" applyNumberFormat="1">
      <alignment vertical="center"/>
    </xf>
    <xf numFmtId="181" fontId="26" fillId="0" borderId="1" xfId="58" applyNumberFormat="1" applyBorder="1" applyAlignment="1">
      <alignment vertical="center" wrapText="1"/>
    </xf>
    <xf numFmtId="0" fontId="26" fillId="0" borderId="1" xfId="58" applyBorder="1" applyAlignment="1">
      <alignment vertical="center" wrapText="1"/>
    </xf>
    <xf numFmtId="0" fontId="26" fillId="0" borderId="1" xfId="58" applyBorder="1" applyAlignment="1">
      <alignment horizontal="center" vertical="center" wrapText="1"/>
    </xf>
    <xf numFmtId="0" fontId="26" fillId="0" borderId="1" xfId="58" applyBorder="1" applyAlignment="1">
      <alignment horizontal="left" vertical="center" wrapText="1"/>
    </xf>
    <xf numFmtId="181" fontId="26" fillId="0" borderId="1" xfId="58" applyNumberFormat="1" applyBorder="1" applyAlignment="1">
      <alignment horizontal="center" vertical="center"/>
    </xf>
    <xf numFmtId="0" fontId="26" fillId="0" borderId="1" xfId="58" applyBorder="1" applyAlignment="1">
      <alignment horizontal="center" vertical="center"/>
    </xf>
    <xf numFmtId="0" fontId="26" fillId="0" borderId="1" xfId="58" applyBorder="1">
      <alignment vertical="center"/>
    </xf>
    <xf numFmtId="181" fontId="26" fillId="0" borderId="22" xfId="58" applyNumberFormat="1" applyBorder="1" applyAlignment="1">
      <alignment horizontal="center" vertical="center"/>
    </xf>
    <xf numFmtId="181" fontId="26" fillId="0" borderId="33" xfId="58" applyNumberFormat="1" applyBorder="1" applyAlignment="1">
      <alignment horizontal="center" vertical="center"/>
    </xf>
    <xf numFmtId="181" fontId="26" fillId="0" borderId="23" xfId="58" applyNumberFormat="1" applyBorder="1" applyAlignment="1">
      <alignment horizontal="center" vertical="center"/>
    </xf>
    <xf numFmtId="181" fontId="26" fillId="0" borderId="32" xfId="58" applyNumberFormat="1" applyBorder="1" applyAlignment="1">
      <alignment horizontal="center" vertical="center"/>
    </xf>
    <xf numFmtId="181" fontId="26" fillId="0" borderId="1" xfId="58" applyNumberFormat="1" applyBorder="1">
      <alignment vertical="center"/>
    </xf>
    <xf numFmtId="0" fontId="43" fillId="0" borderId="0" xfId="58" applyFont="1" applyAlignment="1">
      <alignment horizontal="center" vertical="center"/>
    </xf>
    <xf numFmtId="0" fontId="26" fillId="0" borderId="0" xfId="58" applyFont="1" applyAlignment="1">
      <alignment horizontal="left" vertical="center"/>
    </xf>
    <xf numFmtId="0" fontId="26" fillId="0" borderId="0" xfId="58" applyFont="1">
      <alignment vertical="center"/>
    </xf>
    <xf numFmtId="0" fontId="26" fillId="0" borderId="2" xfId="58" applyFont="1" applyBorder="1" applyAlignment="1">
      <alignment horizontal="left" vertical="center"/>
    </xf>
    <xf numFmtId="0" fontId="26" fillId="0" borderId="1" xfId="58" applyFont="1" applyBorder="1" applyAlignment="1">
      <alignment horizontal="center" vertical="center"/>
    </xf>
    <xf numFmtId="0" fontId="26" fillId="0" borderId="26" xfId="58" applyFont="1" applyBorder="1" applyAlignment="1">
      <alignment horizontal="center" vertical="center"/>
    </xf>
    <xf numFmtId="0" fontId="26" fillId="0" borderId="26" xfId="58" applyFont="1" applyBorder="1" applyAlignment="1">
      <alignment horizontal="center" vertical="center" wrapText="1"/>
    </xf>
    <xf numFmtId="0" fontId="26" fillId="0" borderId="1" xfId="58" applyFont="1" applyBorder="1" applyAlignment="1">
      <alignment horizontal="center" vertical="center" wrapText="1"/>
    </xf>
    <xf numFmtId="0" fontId="26" fillId="0" borderId="32" xfId="58" applyFont="1" applyBorder="1" applyAlignment="1">
      <alignment horizontal="center" vertical="center"/>
    </xf>
    <xf numFmtId="0" fontId="26" fillId="0" borderId="1" xfId="58" applyFont="1" applyFill="1" applyBorder="1" applyAlignment="1" applyProtection="1">
      <alignment horizontal="center" vertical="center"/>
    </xf>
    <xf numFmtId="49" fontId="26" fillId="0" borderId="1" xfId="58" applyNumberFormat="1" applyFont="1" applyFill="1" applyBorder="1" applyAlignment="1" applyProtection="1">
      <alignment horizontal="center" vertical="center"/>
    </xf>
    <xf numFmtId="0" fontId="26" fillId="0" borderId="1" xfId="0" applyFont="1" applyFill="1" applyBorder="1" applyAlignment="1">
      <alignment horizontal="center" vertical="center"/>
    </xf>
    <xf numFmtId="0" fontId="26" fillId="0" borderId="1" xfId="0" applyFont="1" applyFill="1" applyBorder="1" applyAlignment="1">
      <alignment vertical="center"/>
    </xf>
    <xf numFmtId="0" fontId="26" fillId="0" borderId="1" xfId="58" applyFont="1" applyFill="1" applyBorder="1" applyAlignment="1" applyProtection="1">
      <alignment vertical="center"/>
    </xf>
    <xf numFmtId="0" fontId="43" fillId="0" borderId="0" xfId="58" applyFont="1" applyAlignment="1">
      <alignment horizontal="left" vertical="center"/>
    </xf>
    <xf numFmtId="0" fontId="26" fillId="0" borderId="1" xfId="58" applyFont="1" applyBorder="1" applyAlignment="1">
      <alignment horizontal="left" vertical="center"/>
    </xf>
    <xf numFmtId="0" fontId="26" fillId="0" borderId="32" xfId="58" applyFont="1" applyBorder="1" applyAlignment="1">
      <alignment horizontal="center" vertical="center" wrapText="1"/>
    </xf>
    <xf numFmtId="0" fontId="26" fillId="0" borderId="1" xfId="58" applyFont="1" applyFill="1" applyBorder="1" applyAlignment="1" applyProtection="1">
      <alignment horizontal="left" vertical="center"/>
    </xf>
    <xf numFmtId="0" fontId="26" fillId="0" borderId="1" xfId="58" applyFont="1" applyBorder="1">
      <alignment vertical="center"/>
    </xf>
    <xf numFmtId="0" fontId="44" fillId="0" borderId="1" xfId="0" applyFont="1" applyFill="1" applyBorder="1" applyAlignment="1">
      <alignment horizontal="center" vertical="center" shrinkToFit="1"/>
    </xf>
    <xf numFmtId="57" fontId="26" fillId="0" borderId="1" xfId="58" applyNumberFormat="1" applyFont="1" applyFill="1" applyBorder="1" applyAlignment="1" applyProtection="1">
      <alignment horizontal="center" vertical="center"/>
    </xf>
    <xf numFmtId="0" fontId="26" fillId="0" borderId="22" xfId="58" applyFont="1" applyBorder="1" applyAlignment="1">
      <alignment horizontal="center" vertical="center"/>
    </xf>
    <xf numFmtId="0" fontId="26" fillId="0" borderId="23" xfId="58" applyFont="1" applyBorder="1" applyAlignment="1">
      <alignment horizontal="center" vertical="center"/>
    </xf>
    <xf numFmtId="0" fontId="26" fillId="0" borderId="1" xfId="58" applyFont="1" applyBorder="1" applyAlignment="1">
      <alignment horizontal="right" vertical="center"/>
    </xf>
    <xf numFmtId="0" fontId="26" fillId="0" borderId="23" xfId="58" applyFont="1" applyFill="1" applyBorder="1" applyAlignment="1" applyProtection="1">
      <alignment vertical="center"/>
    </xf>
    <xf numFmtId="0" fontId="26" fillId="0" borderId="23" xfId="58" applyFont="1" applyFill="1" applyBorder="1" applyAlignment="1">
      <alignment horizontal="center" vertical="center"/>
    </xf>
    <xf numFmtId="0" fontId="26" fillId="0" borderId="0" xfId="63">
      <alignment vertical="center"/>
    </xf>
    <xf numFmtId="0" fontId="26" fillId="0" borderId="0" xfId="63" applyAlignment="1">
      <alignment horizontal="left" vertical="center" wrapText="1"/>
    </xf>
    <xf numFmtId="0" fontId="43" fillId="0" borderId="0" xfId="63" applyFont="1" applyAlignment="1">
      <alignment horizontal="center" vertical="center"/>
    </xf>
    <xf numFmtId="0" fontId="43" fillId="0" borderId="0" xfId="63" applyFont="1" applyAlignment="1">
      <alignment horizontal="left" vertical="center" wrapText="1"/>
    </xf>
    <xf numFmtId="0" fontId="26" fillId="0" borderId="1" xfId="63" applyBorder="1" applyAlignment="1">
      <alignment horizontal="center" vertical="center"/>
    </xf>
    <xf numFmtId="0" fontId="26" fillId="0" borderId="1" xfId="63" applyBorder="1" applyAlignment="1">
      <alignment horizontal="center" vertical="center" wrapText="1"/>
    </xf>
    <xf numFmtId="14" fontId="26" fillId="0" borderId="1" xfId="63" applyNumberFormat="1" applyBorder="1" applyAlignment="1">
      <alignment horizontal="center" vertical="center" wrapText="1"/>
    </xf>
    <xf numFmtId="0" fontId="26" fillId="0" borderId="1" xfId="63" applyBorder="1" applyAlignment="1">
      <alignment horizontal="left" vertical="center" wrapText="1"/>
    </xf>
    <xf numFmtId="0" fontId="26" fillId="0" borderId="1" xfId="63" applyBorder="1" applyAlignment="1">
      <alignment vertical="center" wrapText="1"/>
    </xf>
    <xf numFmtId="0" fontId="26" fillId="0" borderId="1" xfId="63" applyBorder="1">
      <alignment vertical="center"/>
    </xf>
    <xf numFmtId="14" fontId="26" fillId="0" borderId="1" xfId="63" applyNumberFormat="1" applyBorder="1" applyAlignment="1">
      <alignment horizontal="center" vertical="center"/>
    </xf>
    <xf numFmtId="0" fontId="26" fillId="0" borderId="0" xfId="63" applyFont="1">
      <alignment vertical="center"/>
    </xf>
    <xf numFmtId="0" fontId="26" fillId="0" borderId="0" xfId="63" applyBorder="1">
      <alignment vertical="center"/>
    </xf>
    <xf numFmtId="0" fontId="16" fillId="2" borderId="0" xfId="0" applyFont="1" applyFill="1" applyAlignment="1">
      <alignment vertical="center"/>
    </xf>
    <xf numFmtId="0" fontId="4" fillId="0" borderId="1" xfId="0" applyFont="1" applyFill="1" applyBorder="1" applyAlignment="1">
      <alignment horizontal="left" vertical="center"/>
    </xf>
    <xf numFmtId="0" fontId="16" fillId="0" borderId="1" xfId="0" applyFont="1" applyFill="1" applyBorder="1" applyAlignment="1">
      <alignment horizontal="left" vertical="center"/>
    </xf>
    <xf numFmtId="180" fontId="16" fillId="0" borderId="1" xfId="0" applyNumberFormat="1" applyFont="1" applyFill="1" applyBorder="1" applyAlignment="1">
      <alignment horizontal="left" vertical="center"/>
    </xf>
    <xf numFmtId="0" fontId="4" fillId="2" borderId="0" xfId="0" applyFont="1" applyFill="1" applyAlignment="1">
      <alignment horizontal="left" vertical="center"/>
    </xf>
    <xf numFmtId="180" fontId="16" fillId="2" borderId="0" xfId="0" applyNumberFormat="1" applyFont="1" applyFill="1" applyAlignment="1">
      <alignment horizontal="left" vertical="center"/>
    </xf>
    <xf numFmtId="0" fontId="24" fillId="2" borderId="0" xfId="0" applyFont="1" applyFill="1" applyAlignment="1">
      <alignment vertical="center"/>
    </xf>
    <xf numFmtId="0" fontId="26" fillId="2" borderId="1" xfId="59" applyFont="1" applyFill="1" applyBorder="1" applyAlignment="1" quotePrefix="1">
      <alignment horizontal="center" vertical="center" shrinkToFit="1"/>
    </xf>
  </cellXfs>
  <cellStyles count="65">
    <cellStyle name="常规" xfId="0" builtinId="0"/>
    <cellStyle name="货币[0]" xfId="1" builtinId="7"/>
    <cellStyle name="千分位_laroux"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常规 6" xfId="15"/>
    <cellStyle name="60% - 强调文字颜色 2" xfId="16" builtinId="36"/>
    <cellStyle name="标题 4" xfId="17" builtinId="19"/>
    <cellStyle name="警告文本" xfId="18" builtinId="11"/>
    <cellStyle name="标题" xfId="19" builtinId="15"/>
    <cellStyle name="好_评估目录及管理类" xfId="20"/>
    <cellStyle name="解释性文本" xfId="21" builtinId="53"/>
    <cellStyle name="标题 1" xfId="22" builtinId="16"/>
    <cellStyle name="标题 2" xfId="23" builtinId="17"/>
    <cellStyle name="标题 3" xfId="24" builtinId="18"/>
    <cellStyle name="货币[0] 2" xfId="25"/>
    <cellStyle name="60% - 强调文字颜色 1" xfId="26" builtinId="32"/>
    <cellStyle name="60% - 强调文字颜色 4" xfId="27" builtinId="44"/>
    <cellStyle name="输出" xfId="28" builtinId="21"/>
    <cellStyle name="千分位[0]_laroux" xfId="29"/>
    <cellStyle name="计算" xfId="30" builtinId="22"/>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普通_laroux" xfId="38"/>
    <cellStyle name="20% - 强调文字颜色 5" xfId="39" builtinId="46"/>
    <cellStyle name="强调文字颜色 1" xfId="40" builtinId="29"/>
    <cellStyle name="20% - 强调文字颜色 1" xfId="41" builtinId="30"/>
    <cellStyle name="40% - 强调文字颜色 1" xfId="42" builtinId="31"/>
    <cellStyle name="20% - 强调文字颜色 2" xfId="43" builtinId="34"/>
    <cellStyle name="常规_设备评估原值测算表" xfId="44"/>
    <cellStyle name="40% - 强调文字颜色 2" xfId="45" builtinId="35"/>
    <cellStyle name="差_评估目录及管理类" xfId="46"/>
    <cellStyle name="强调文字颜色 3" xfId="47" builtinId="37"/>
    <cellStyle name="强调文字颜色 4" xfId="48" builtinId="41"/>
    <cellStyle name="20% - 强调文字颜色 4" xfId="49" builtinId="42"/>
    <cellStyle name="40% - 强调文字颜色 4" xfId="50" builtinId="43"/>
    <cellStyle name="强调文字颜色 5" xfId="51" builtinId="45"/>
    <cellStyle name="常规 2 2" xfId="52"/>
    <cellStyle name="40% - 强调文字颜色 5" xfId="53" builtinId="47"/>
    <cellStyle name="60% - 强调文字颜色 5" xfId="54" builtinId="48"/>
    <cellStyle name="强调文字颜色 6" xfId="55" builtinId="49"/>
    <cellStyle name="40% - 强调文字颜色 6" xfId="56" builtinId="51"/>
    <cellStyle name="60% - 强调文字颜色 6" xfId="57" builtinId="52"/>
    <cellStyle name="常规 2" xfId="58"/>
    <cellStyle name="常规 3" xfId="59"/>
    <cellStyle name="常规 4" xfId="60"/>
    <cellStyle name="常规_审计工作底稿-资产类（夏）" xfId="61"/>
    <cellStyle name="常规 5" xfId="62"/>
    <cellStyle name="常规 7" xfId="63"/>
    <cellStyle name="超链接 2" xfId="64"/>
  </cellStyles>
  <tableStyles count="0" defaultTableStyle="TableStyleMedium2" defaultPivotStyle="PivotStyleMedium9"/>
  <colors>
    <mruColors>
      <color rgb="00FFFF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www.wps.cn/officeDocument/2020/cellImage" Target="cellimages.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externalLink" Target="externalLinks/externalLink2.xml"/><Relationship Id="rId22" Type="http://schemas.openxmlformats.org/officeDocument/2006/relationships/externalLink" Target="externalLinks/externalLink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464;&#26519;/&#23457;&#35745;&#24037;&#20316;&#24213;&#31295;/&#21069;&#26399;&#24037;&#20316;/&#19994;&#21153;&#25215;&#25509;&#35780;&#20215;&#349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istrator\Desktop\&#25644;&#36801;&#36153;&#29992;&#35780;&#20272;&#26126;&#32454;&#34920;&#65288;&#24352;10.21&#20108;&#23457;&#6528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xnsjtempsheet"/>
      <sheetName val="业务承接评价表"/>
    </sheetNames>
    <sheetDataSet>
      <sheetData sheetId="0"/>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设定"/>
      <sheetName val="资产评估汇总表"/>
      <sheetName val="物资类评估明细表"/>
      <sheetName val="设备类评估明细表"/>
    </sheetNames>
    <sheetDataSet>
      <sheetData sheetId="0"/>
      <sheetData sheetId="1"/>
      <sheetData sheetId="2"/>
      <sheetData sheetId="3">
        <row r="33">
          <cell r="O33">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3:E6"/>
  <sheetViews>
    <sheetView workbookViewId="0">
      <selection activeCell="D19" sqref="D19"/>
    </sheetView>
  </sheetViews>
  <sheetFormatPr defaultColWidth="8.875" defaultRowHeight="15" customHeight="1" outlineLevelRow="5" outlineLevelCol="4"/>
  <cols>
    <col min="1" max="1" width="8.875" style="462"/>
    <col min="2" max="2" width="18.25" style="462" customWidth="1"/>
    <col min="3" max="3" width="14.625" style="462" customWidth="1"/>
    <col min="4" max="4" width="11.875" style="462" customWidth="1"/>
    <col min="5" max="5" width="15.625" style="462" customWidth="1"/>
    <col min="6" max="16384" width="8.875" style="462"/>
  </cols>
  <sheetData>
    <row r="3" ht="31.15" customHeight="1" spans="2:5">
      <c r="B3" s="114" t="s">
        <v>0</v>
      </c>
      <c r="C3" s="463" t="s">
        <v>1</v>
      </c>
      <c r="D3" s="464"/>
      <c r="E3" s="464"/>
    </row>
    <row r="4" ht="31.15" customHeight="1" spans="2:5">
      <c r="B4" s="114" t="s">
        <v>2</v>
      </c>
      <c r="C4" s="465">
        <v>44637</v>
      </c>
      <c r="D4" s="465"/>
      <c r="E4" s="465"/>
    </row>
    <row r="5" ht="31.15" customHeight="1" spans="2:3">
      <c r="B5" s="466"/>
      <c r="C5" s="467"/>
    </row>
    <row r="6" ht="31.15" customHeight="1" spans="2:2">
      <c r="B6" s="468" t="s">
        <v>3</v>
      </c>
    </row>
  </sheetData>
  <mergeCells count="2">
    <mergeCell ref="C3:E3"/>
    <mergeCell ref="C4:E4"/>
  </mergeCell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H18"/>
  <sheetViews>
    <sheetView showZeros="0" tabSelected="1" workbookViewId="0">
      <selection activeCell="D10" sqref="D10"/>
    </sheetView>
  </sheetViews>
  <sheetFormatPr defaultColWidth="10" defaultRowHeight="14.25" outlineLevelCol="7"/>
  <cols>
    <col min="1" max="1" width="9.25" style="157" customWidth="1"/>
    <col min="2" max="2" width="40.125" style="157" customWidth="1"/>
    <col min="3" max="5" width="21.5" style="157" customWidth="1"/>
    <col min="6" max="6" width="2.75" style="159" customWidth="1"/>
    <col min="7" max="7" width="11.625" style="157" customWidth="1"/>
    <col min="8" max="220" width="10" style="157"/>
    <col min="221" max="221" width="4.125" style="157" customWidth="1"/>
    <col min="222" max="222" width="20.5" style="157" customWidth="1"/>
    <col min="223" max="223" width="16.5" style="157" customWidth="1"/>
    <col min="224" max="224" width="14.625" style="157" customWidth="1"/>
    <col min="225" max="225" width="6.125" style="157" customWidth="1"/>
    <col min="226" max="227" width="6" style="157" customWidth="1"/>
    <col min="228" max="228" width="15.75" style="157" customWidth="1"/>
    <col min="229" max="229" width="6.875" style="157" customWidth="1"/>
    <col min="230" max="230" width="12.75" style="157" customWidth="1"/>
    <col min="231" max="231" width="5.5" style="157" customWidth="1"/>
    <col min="232" max="232" width="6.25" style="157" customWidth="1"/>
    <col min="233" max="233" width="9" style="157" customWidth="1"/>
    <col min="234" max="234" width="8.5" style="157" customWidth="1"/>
    <col min="235" max="235" width="6.375" style="157" customWidth="1"/>
    <col min="236" max="236" width="9.875" style="157" customWidth="1"/>
    <col min="237" max="237" width="12.875" style="157" customWidth="1"/>
    <col min="238" max="238" width="12.625" style="157" customWidth="1"/>
    <col min="239" max="476" width="10" style="157"/>
    <col min="477" max="477" width="4.125" style="157" customWidth="1"/>
    <col min="478" max="478" width="20.5" style="157" customWidth="1"/>
    <col min="479" max="479" width="16.5" style="157" customWidth="1"/>
    <col min="480" max="480" width="14.625" style="157" customWidth="1"/>
    <col min="481" max="481" width="6.125" style="157" customWidth="1"/>
    <col min="482" max="483" width="6" style="157" customWidth="1"/>
    <col min="484" max="484" width="15.75" style="157" customWidth="1"/>
    <col min="485" max="485" width="6.875" style="157" customWidth="1"/>
    <col min="486" max="486" width="12.75" style="157" customWidth="1"/>
    <col min="487" max="487" width="5.5" style="157" customWidth="1"/>
    <col min="488" max="488" width="6.25" style="157" customWidth="1"/>
    <col min="489" max="489" width="9" style="157" customWidth="1"/>
    <col min="490" max="490" width="8.5" style="157" customWidth="1"/>
    <col min="491" max="491" width="6.375" style="157" customWidth="1"/>
    <col min="492" max="492" width="9.875" style="157" customWidth="1"/>
    <col min="493" max="493" width="12.875" style="157" customWidth="1"/>
    <col min="494" max="494" width="12.625" style="157" customWidth="1"/>
    <col min="495" max="732" width="10" style="157"/>
    <col min="733" max="733" width="4.125" style="157" customWidth="1"/>
    <col min="734" max="734" width="20.5" style="157" customWidth="1"/>
    <col min="735" max="735" width="16.5" style="157" customWidth="1"/>
    <col min="736" max="736" width="14.625" style="157" customWidth="1"/>
    <col min="737" max="737" width="6.125" style="157" customWidth="1"/>
    <col min="738" max="739" width="6" style="157" customWidth="1"/>
    <col min="740" max="740" width="15.75" style="157" customWidth="1"/>
    <col min="741" max="741" width="6.875" style="157" customWidth="1"/>
    <col min="742" max="742" width="12.75" style="157" customWidth="1"/>
    <col min="743" max="743" width="5.5" style="157" customWidth="1"/>
    <col min="744" max="744" width="6.25" style="157" customWidth="1"/>
    <col min="745" max="745" width="9" style="157" customWidth="1"/>
    <col min="746" max="746" width="8.5" style="157" customWidth="1"/>
    <col min="747" max="747" width="6.375" style="157" customWidth="1"/>
    <col min="748" max="748" width="9.875" style="157" customWidth="1"/>
    <col min="749" max="749" width="12.875" style="157" customWidth="1"/>
    <col min="750" max="750" width="12.625" style="157" customWidth="1"/>
    <col min="751" max="988" width="10" style="157"/>
    <col min="989" max="989" width="4.125" style="157" customWidth="1"/>
    <col min="990" max="990" width="20.5" style="157" customWidth="1"/>
    <col min="991" max="991" width="16.5" style="157" customWidth="1"/>
    <col min="992" max="992" width="14.625" style="157" customWidth="1"/>
    <col min="993" max="993" width="6.125" style="157" customWidth="1"/>
    <col min="994" max="995" width="6" style="157" customWidth="1"/>
    <col min="996" max="996" width="15.75" style="157" customWidth="1"/>
    <col min="997" max="997" width="6.875" style="157" customWidth="1"/>
    <col min="998" max="998" width="12.75" style="157" customWidth="1"/>
    <col min="999" max="999" width="5.5" style="157" customWidth="1"/>
    <col min="1000" max="1000" width="6.25" style="157" customWidth="1"/>
    <col min="1001" max="1001" width="9" style="157" customWidth="1"/>
    <col min="1002" max="1002" width="8.5" style="157" customWidth="1"/>
    <col min="1003" max="1003" width="6.375" style="157" customWidth="1"/>
    <col min="1004" max="1004" width="9.875" style="157" customWidth="1"/>
    <col min="1005" max="1005" width="12.875" style="157" customWidth="1"/>
    <col min="1006" max="1006" width="12.625" style="157" customWidth="1"/>
    <col min="1007" max="1244" width="10" style="157"/>
    <col min="1245" max="1245" width="4.125" style="157" customWidth="1"/>
    <col min="1246" max="1246" width="20.5" style="157" customWidth="1"/>
    <col min="1247" max="1247" width="16.5" style="157" customWidth="1"/>
    <col min="1248" max="1248" width="14.625" style="157" customWidth="1"/>
    <col min="1249" max="1249" width="6.125" style="157" customWidth="1"/>
    <col min="1250" max="1251" width="6" style="157" customWidth="1"/>
    <col min="1252" max="1252" width="15.75" style="157" customWidth="1"/>
    <col min="1253" max="1253" width="6.875" style="157" customWidth="1"/>
    <col min="1254" max="1254" width="12.75" style="157" customWidth="1"/>
    <col min="1255" max="1255" width="5.5" style="157" customWidth="1"/>
    <col min="1256" max="1256" width="6.25" style="157" customWidth="1"/>
    <col min="1257" max="1257" width="9" style="157" customWidth="1"/>
    <col min="1258" max="1258" width="8.5" style="157" customWidth="1"/>
    <col min="1259" max="1259" width="6.375" style="157" customWidth="1"/>
    <col min="1260" max="1260" width="9.875" style="157" customWidth="1"/>
    <col min="1261" max="1261" width="12.875" style="157" customWidth="1"/>
    <col min="1262" max="1262" width="12.625" style="157" customWidth="1"/>
    <col min="1263" max="1500" width="10" style="157"/>
    <col min="1501" max="1501" width="4.125" style="157" customWidth="1"/>
    <col min="1502" max="1502" width="20.5" style="157" customWidth="1"/>
    <col min="1503" max="1503" width="16.5" style="157" customWidth="1"/>
    <col min="1504" max="1504" width="14.625" style="157" customWidth="1"/>
    <col min="1505" max="1505" width="6.125" style="157" customWidth="1"/>
    <col min="1506" max="1507" width="6" style="157" customWidth="1"/>
    <col min="1508" max="1508" width="15.75" style="157" customWidth="1"/>
    <col min="1509" max="1509" width="6.875" style="157" customWidth="1"/>
    <col min="1510" max="1510" width="12.75" style="157" customWidth="1"/>
    <col min="1511" max="1511" width="5.5" style="157" customWidth="1"/>
    <col min="1512" max="1512" width="6.25" style="157" customWidth="1"/>
    <col min="1513" max="1513" width="9" style="157" customWidth="1"/>
    <col min="1514" max="1514" width="8.5" style="157" customWidth="1"/>
    <col min="1515" max="1515" width="6.375" style="157" customWidth="1"/>
    <col min="1516" max="1516" width="9.875" style="157" customWidth="1"/>
    <col min="1517" max="1517" width="12.875" style="157" customWidth="1"/>
    <col min="1518" max="1518" width="12.625" style="157" customWidth="1"/>
    <col min="1519" max="1756" width="10" style="157"/>
    <col min="1757" max="1757" width="4.125" style="157" customWidth="1"/>
    <col min="1758" max="1758" width="20.5" style="157" customWidth="1"/>
    <col min="1759" max="1759" width="16.5" style="157" customWidth="1"/>
    <col min="1760" max="1760" width="14.625" style="157" customWidth="1"/>
    <col min="1761" max="1761" width="6.125" style="157" customWidth="1"/>
    <col min="1762" max="1763" width="6" style="157" customWidth="1"/>
    <col min="1764" max="1764" width="15.75" style="157" customWidth="1"/>
    <col min="1765" max="1765" width="6.875" style="157" customWidth="1"/>
    <col min="1766" max="1766" width="12.75" style="157" customWidth="1"/>
    <col min="1767" max="1767" width="5.5" style="157" customWidth="1"/>
    <col min="1768" max="1768" width="6.25" style="157" customWidth="1"/>
    <col min="1769" max="1769" width="9" style="157" customWidth="1"/>
    <col min="1770" max="1770" width="8.5" style="157" customWidth="1"/>
    <col min="1771" max="1771" width="6.375" style="157" customWidth="1"/>
    <col min="1772" max="1772" width="9.875" style="157" customWidth="1"/>
    <col min="1773" max="1773" width="12.875" style="157" customWidth="1"/>
    <col min="1774" max="1774" width="12.625" style="157" customWidth="1"/>
    <col min="1775" max="2012" width="10" style="157"/>
    <col min="2013" max="2013" width="4.125" style="157" customWidth="1"/>
    <col min="2014" max="2014" width="20.5" style="157" customWidth="1"/>
    <col min="2015" max="2015" width="16.5" style="157" customWidth="1"/>
    <col min="2016" max="2016" width="14.625" style="157" customWidth="1"/>
    <col min="2017" max="2017" width="6.125" style="157" customWidth="1"/>
    <col min="2018" max="2019" width="6" style="157" customWidth="1"/>
    <col min="2020" max="2020" width="15.75" style="157" customWidth="1"/>
    <col min="2021" max="2021" width="6.875" style="157" customWidth="1"/>
    <col min="2022" max="2022" width="12.75" style="157" customWidth="1"/>
    <col min="2023" max="2023" width="5.5" style="157" customWidth="1"/>
    <col min="2024" max="2024" width="6.25" style="157" customWidth="1"/>
    <col min="2025" max="2025" width="9" style="157" customWidth="1"/>
    <col min="2026" max="2026" width="8.5" style="157" customWidth="1"/>
    <col min="2027" max="2027" width="6.375" style="157" customWidth="1"/>
    <col min="2028" max="2028" width="9.875" style="157" customWidth="1"/>
    <col min="2029" max="2029" width="12.875" style="157" customWidth="1"/>
    <col min="2030" max="2030" width="12.625" style="157" customWidth="1"/>
    <col min="2031" max="2268" width="10" style="157"/>
    <col min="2269" max="2269" width="4.125" style="157" customWidth="1"/>
    <col min="2270" max="2270" width="20.5" style="157" customWidth="1"/>
    <col min="2271" max="2271" width="16.5" style="157" customWidth="1"/>
    <col min="2272" max="2272" width="14.625" style="157" customWidth="1"/>
    <col min="2273" max="2273" width="6.125" style="157" customWidth="1"/>
    <col min="2274" max="2275" width="6" style="157" customWidth="1"/>
    <col min="2276" max="2276" width="15.75" style="157" customWidth="1"/>
    <col min="2277" max="2277" width="6.875" style="157" customWidth="1"/>
    <col min="2278" max="2278" width="12.75" style="157" customWidth="1"/>
    <col min="2279" max="2279" width="5.5" style="157" customWidth="1"/>
    <col min="2280" max="2280" width="6.25" style="157" customWidth="1"/>
    <col min="2281" max="2281" width="9" style="157" customWidth="1"/>
    <col min="2282" max="2282" width="8.5" style="157" customWidth="1"/>
    <col min="2283" max="2283" width="6.375" style="157" customWidth="1"/>
    <col min="2284" max="2284" width="9.875" style="157" customWidth="1"/>
    <col min="2285" max="2285" width="12.875" style="157" customWidth="1"/>
    <col min="2286" max="2286" width="12.625" style="157" customWidth="1"/>
    <col min="2287" max="2524" width="10" style="157"/>
    <col min="2525" max="2525" width="4.125" style="157" customWidth="1"/>
    <col min="2526" max="2526" width="20.5" style="157" customWidth="1"/>
    <col min="2527" max="2527" width="16.5" style="157" customWidth="1"/>
    <col min="2528" max="2528" width="14.625" style="157" customWidth="1"/>
    <col min="2529" max="2529" width="6.125" style="157" customWidth="1"/>
    <col min="2530" max="2531" width="6" style="157" customWidth="1"/>
    <col min="2532" max="2532" width="15.75" style="157" customWidth="1"/>
    <col min="2533" max="2533" width="6.875" style="157" customWidth="1"/>
    <col min="2534" max="2534" width="12.75" style="157" customWidth="1"/>
    <col min="2535" max="2535" width="5.5" style="157" customWidth="1"/>
    <col min="2536" max="2536" width="6.25" style="157" customWidth="1"/>
    <col min="2537" max="2537" width="9" style="157" customWidth="1"/>
    <col min="2538" max="2538" width="8.5" style="157" customWidth="1"/>
    <col min="2539" max="2539" width="6.375" style="157" customWidth="1"/>
    <col min="2540" max="2540" width="9.875" style="157" customWidth="1"/>
    <col min="2541" max="2541" width="12.875" style="157" customWidth="1"/>
    <col min="2542" max="2542" width="12.625" style="157" customWidth="1"/>
    <col min="2543" max="2780" width="10" style="157"/>
    <col min="2781" max="2781" width="4.125" style="157" customWidth="1"/>
    <col min="2782" max="2782" width="20.5" style="157" customWidth="1"/>
    <col min="2783" max="2783" width="16.5" style="157" customWidth="1"/>
    <col min="2784" max="2784" width="14.625" style="157" customWidth="1"/>
    <col min="2785" max="2785" width="6.125" style="157" customWidth="1"/>
    <col min="2786" max="2787" width="6" style="157" customWidth="1"/>
    <col min="2788" max="2788" width="15.75" style="157" customWidth="1"/>
    <col min="2789" max="2789" width="6.875" style="157" customWidth="1"/>
    <col min="2790" max="2790" width="12.75" style="157" customWidth="1"/>
    <col min="2791" max="2791" width="5.5" style="157" customWidth="1"/>
    <col min="2792" max="2792" width="6.25" style="157" customWidth="1"/>
    <col min="2793" max="2793" width="9" style="157" customWidth="1"/>
    <col min="2794" max="2794" width="8.5" style="157" customWidth="1"/>
    <col min="2795" max="2795" width="6.375" style="157" customWidth="1"/>
    <col min="2796" max="2796" width="9.875" style="157" customWidth="1"/>
    <col min="2797" max="2797" width="12.875" style="157" customWidth="1"/>
    <col min="2798" max="2798" width="12.625" style="157" customWidth="1"/>
    <col min="2799" max="3036" width="10" style="157"/>
    <col min="3037" max="3037" width="4.125" style="157" customWidth="1"/>
    <col min="3038" max="3038" width="20.5" style="157" customWidth="1"/>
    <col min="3039" max="3039" width="16.5" style="157" customWidth="1"/>
    <col min="3040" max="3040" width="14.625" style="157" customWidth="1"/>
    <col min="3041" max="3041" width="6.125" style="157" customWidth="1"/>
    <col min="3042" max="3043" width="6" style="157" customWidth="1"/>
    <col min="3044" max="3044" width="15.75" style="157" customWidth="1"/>
    <col min="3045" max="3045" width="6.875" style="157" customWidth="1"/>
    <col min="3046" max="3046" width="12.75" style="157" customWidth="1"/>
    <col min="3047" max="3047" width="5.5" style="157" customWidth="1"/>
    <col min="3048" max="3048" width="6.25" style="157" customWidth="1"/>
    <col min="3049" max="3049" width="9" style="157" customWidth="1"/>
    <col min="3050" max="3050" width="8.5" style="157" customWidth="1"/>
    <col min="3051" max="3051" width="6.375" style="157" customWidth="1"/>
    <col min="3052" max="3052" width="9.875" style="157" customWidth="1"/>
    <col min="3053" max="3053" width="12.875" style="157" customWidth="1"/>
    <col min="3054" max="3054" width="12.625" style="157" customWidth="1"/>
    <col min="3055" max="3292" width="10" style="157"/>
    <col min="3293" max="3293" width="4.125" style="157" customWidth="1"/>
    <col min="3294" max="3294" width="20.5" style="157" customWidth="1"/>
    <col min="3295" max="3295" width="16.5" style="157" customWidth="1"/>
    <col min="3296" max="3296" width="14.625" style="157" customWidth="1"/>
    <col min="3297" max="3297" width="6.125" style="157" customWidth="1"/>
    <col min="3298" max="3299" width="6" style="157" customWidth="1"/>
    <col min="3300" max="3300" width="15.75" style="157" customWidth="1"/>
    <col min="3301" max="3301" width="6.875" style="157" customWidth="1"/>
    <col min="3302" max="3302" width="12.75" style="157" customWidth="1"/>
    <col min="3303" max="3303" width="5.5" style="157" customWidth="1"/>
    <col min="3304" max="3304" width="6.25" style="157" customWidth="1"/>
    <col min="3305" max="3305" width="9" style="157" customWidth="1"/>
    <col min="3306" max="3306" width="8.5" style="157" customWidth="1"/>
    <col min="3307" max="3307" width="6.375" style="157" customWidth="1"/>
    <col min="3308" max="3308" width="9.875" style="157" customWidth="1"/>
    <col min="3309" max="3309" width="12.875" style="157" customWidth="1"/>
    <col min="3310" max="3310" width="12.625" style="157" customWidth="1"/>
    <col min="3311" max="3548" width="10" style="157"/>
    <col min="3549" max="3549" width="4.125" style="157" customWidth="1"/>
    <col min="3550" max="3550" width="20.5" style="157" customWidth="1"/>
    <col min="3551" max="3551" width="16.5" style="157" customWidth="1"/>
    <col min="3552" max="3552" width="14.625" style="157" customWidth="1"/>
    <col min="3553" max="3553" width="6.125" style="157" customWidth="1"/>
    <col min="3554" max="3555" width="6" style="157" customWidth="1"/>
    <col min="3556" max="3556" width="15.75" style="157" customWidth="1"/>
    <col min="3557" max="3557" width="6.875" style="157" customWidth="1"/>
    <col min="3558" max="3558" width="12.75" style="157" customWidth="1"/>
    <col min="3559" max="3559" width="5.5" style="157" customWidth="1"/>
    <col min="3560" max="3560" width="6.25" style="157" customWidth="1"/>
    <col min="3561" max="3561" width="9" style="157" customWidth="1"/>
    <col min="3562" max="3562" width="8.5" style="157" customWidth="1"/>
    <col min="3563" max="3563" width="6.375" style="157" customWidth="1"/>
    <col min="3564" max="3564" width="9.875" style="157" customWidth="1"/>
    <col min="3565" max="3565" width="12.875" style="157" customWidth="1"/>
    <col min="3566" max="3566" width="12.625" style="157" customWidth="1"/>
    <col min="3567" max="3804" width="10" style="157"/>
    <col min="3805" max="3805" width="4.125" style="157" customWidth="1"/>
    <col min="3806" max="3806" width="20.5" style="157" customWidth="1"/>
    <col min="3807" max="3807" width="16.5" style="157" customWidth="1"/>
    <col min="3808" max="3808" width="14.625" style="157" customWidth="1"/>
    <col min="3809" max="3809" width="6.125" style="157" customWidth="1"/>
    <col min="3810" max="3811" width="6" style="157" customWidth="1"/>
    <col min="3812" max="3812" width="15.75" style="157" customWidth="1"/>
    <col min="3813" max="3813" width="6.875" style="157" customWidth="1"/>
    <col min="3814" max="3814" width="12.75" style="157" customWidth="1"/>
    <col min="3815" max="3815" width="5.5" style="157" customWidth="1"/>
    <col min="3816" max="3816" width="6.25" style="157" customWidth="1"/>
    <col min="3817" max="3817" width="9" style="157" customWidth="1"/>
    <col min="3818" max="3818" width="8.5" style="157" customWidth="1"/>
    <col min="3819" max="3819" width="6.375" style="157" customWidth="1"/>
    <col min="3820" max="3820" width="9.875" style="157" customWidth="1"/>
    <col min="3821" max="3821" width="12.875" style="157" customWidth="1"/>
    <col min="3822" max="3822" width="12.625" style="157" customWidth="1"/>
    <col min="3823" max="4060" width="10" style="157"/>
    <col min="4061" max="4061" width="4.125" style="157" customWidth="1"/>
    <col min="4062" max="4062" width="20.5" style="157" customWidth="1"/>
    <col min="4063" max="4063" width="16.5" style="157" customWidth="1"/>
    <col min="4064" max="4064" width="14.625" style="157" customWidth="1"/>
    <col min="4065" max="4065" width="6.125" style="157" customWidth="1"/>
    <col min="4066" max="4067" width="6" style="157" customWidth="1"/>
    <col min="4068" max="4068" width="15.75" style="157" customWidth="1"/>
    <col min="4069" max="4069" width="6.875" style="157" customWidth="1"/>
    <col min="4070" max="4070" width="12.75" style="157" customWidth="1"/>
    <col min="4071" max="4071" width="5.5" style="157" customWidth="1"/>
    <col min="4072" max="4072" width="6.25" style="157" customWidth="1"/>
    <col min="4073" max="4073" width="9" style="157" customWidth="1"/>
    <col min="4074" max="4074" width="8.5" style="157" customWidth="1"/>
    <col min="4075" max="4075" width="6.375" style="157" customWidth="1"/>
    <col min="4076" max="4076" width="9.875" style="157" customWidth="1"/>
    <col min="4077" max="4077" width="12.875" style="157" customWidth="1"/>
    <col min="4078" max="4078" width="12.625" style="157" customWidth="1"/>
    <col min="4079" max="4316" width="10" style="157"/>
    <col min="4317" max="4317" width="4.125" style="157" customWidth="1"/>
    <col min="4318" max="4318" width="20.5" style="157" customWidth="1"/>
    <col min="4319" max="4319" width="16.5" style="157" customWidth="1"/>
    <col min="4320" max="4320" width="14.625" style="157" customWidth="1"/>
    <col min="4321" max="4321" width="6.125" style="157" customWidth="1"/>
    <col min="4322" max="4323" width="6" style="157" customWidth="1"/>
    <col min="4324" max="4324" width="15.75" style="157" customWidth="1"/>
    <col min="4325" max="4325" width="6.875" style="157" customWidth="1"/>
    <col min="4326" max="4326" width="12.75" style="157" customWidth="1"/>
    <col min="4327" max="4327" width="5.5" style="157" customWidth="1"/>
    <col min="4328" max="4328" width="6.25" style="157" customWidth="1"/>
    <col min="4329" max="4329" width="9" style="157" customWidth="1"/>
    <col min="4330" max="4330" width="8.5" style="157" customWidth="1"/>
    <col min="4331" max="4331" width="6.375" style="157" customWidth="1"/>
    <col min="4332" max="4332" width="9.875" style="157" customWidth="1"/>
    <col min="4333" max="4333" width="12.875" style="157" customWidth="1"/>
    <col min="4334" max="4334" width="12.625" style="157" customWidth="1"/>
    <col min="4335" max="4572" width="10" style="157"/>
    <col min="4573" max="4573" width="4.125" style="157" customWidth="1"/>
    <col min="4574" max="4574" width="20.5" style="157" customWidth="1"/>
    <col min="4575" max="4575" width="16.5" style="157" customWidth="1"/>
    <col min="4576" max="4576" width="14.625" style="157" customWidth="1"/>
    <col min="4577" max="4577" width="6.125" style="157" customWidth="1"/>
    <col min="4578" max="4579" width="6" style="157" customWidth="1"/>
    <col min="4580" max="4580" width="15.75" style="157" customWidth="1"/>
    <col min="4581" max="4581" width="6.875" style="157" customWidth="1"/>
    <col min="4582" max="4582" width="12.75" style="157" customWidth="1"/>
    <col min="4583" max="4583" width="5.5" style="157" customWidth="1"/>
    <col min="4584" max="4584" width="6.25" style="157" customWidth="1"/>
    <col min="4585" max="4585" width="9" style="157" customWidth="1"/>
    <col min="4586" max="4586" width="8.5" style="157" customWidth="1"/>
    <col min="4587" max="4587" width="6.375" style="157" customWidth="1"/>
    <col min="4588" max="4588" width="9.875" style="157" customWidth="1"/>
    <col min="4589" max="4589" width="12.875" style="157" customWidth="1"/>
    <col min="4590" max="4590" width="12.625" style="157" customWidth="1"/>
    <col min="4591" max="4828" width="10" style="157"/>
    <col min="4829" max="4829" width="4.125" style="157" customWidth="1"/>
    <col min="4830" max="4830" width="20.5" style="157" customWidth="1"/>
    <col min="4831" max="4831" width="16.5" style="157" customWidth="1"/>
    <col min="4832" max="4832" width="14.625" style="157" customWidth="1"/>
    <col min="4833" max="4833" width="6.125" style="157" customWidth="1"/>
    <col min="4834" max="4835" width="6" style="157" customWidth="1"/>
    <col min="4836" max="4836" width="15.75" style="157" customWidth="1"/>
    <col min="4837" max="4837" width="6.875" style="157" customWidth="1"/>
    <col min="4838" max="4838" width="12.75" style="157" customWidth="1"/>
    <col min="4839" max="4839" width="5.5" style="157" customWidth="1"/>
    <col min="4840" max="4840" width="6.25" style="157" customWidth="1"/>
    <col min="4841" max="4841" width="9" style="157" customWidth="1"/>
    <col min="4842" max="4842" width="8.5" style="157" customWidth="1"/>
    <col min="4843" max="4843" width="6.375" style="157" customWidth="1"/>
    <col min="4844" max="4844" width="9.875" style="157" customWidth="1"/>
    <col min="4845" max="4845" width="12.875" style="157" customWidth="1"/>
    <col min="4846" max="4846" width="12.625" style="157" customWidth="1"/>
    <col min="4847" max="5084" width="10" style="157"/>
    <col min="5085" max="5085" width="4.125" style="157" customWidth="1"/>
    <col min="5086" max="5086" width="20.5" style="157" customWidth="1"/>
    <col min="5087" max="5087" width="16.5" style="157" customWidth="1"/>
    <col min="5088" max="5088" width="14.625" style="157" customWidth="1"/>
    <col min="5089" max="5089" width="6.125" style="157" customWidth="1"/>
    <col min="5090" max="5091" width="6" style="157" customWidth="1"/>
    <col min="5092" max="5092" width="15.75" style="157" customWidth="1"/>
    <col min="5093" max="5093" width="6.875" style="157" customWidth="1"/>
    <col min="5094" max="5094" width="12.75" style="157" customWidth="1"/>
    <col min="5095" max="5095" width="5.5" style="157" customWidth="1"/>
    <col min="5096" max="5096" width="6.25" style="157" customWidth="1"/>
    <col min="5097" max="5097" width="9" style="157" customWidth="1"/>
    <col min="5098" max="5098" width="8.5" style="157" customWidth="1"/>
    <col min="5099" max="5099" width="6.375" style="157" customWidth="1"/>
    <col min="5100" max="5100" width="9.875" style="157" customWidth="1"/>
    <col min="5101" max="5101" width="12.875" style="157" customWidth="1"/>
    <col min="5102" max="5102" width="12.625" style="157" customWidth="1"/>
    <col min="5103" max="5340" width="10" style="157"/>
    <col min="5341" max="5341" width="4.125" style="157" customWidth="1"/>
    <col min="5342" max="5342" width="20.5" style="157" customWidth="1"/>
    <col min="5343" max="5343" width="16.5" style="157" customWidth="1"/>
    <col min="5344" max="5344" width="14.625" style="157" customWidth="1"/>
    <col min="5345" max="5345" width="6.125" style="157" customWidth="1"/>
    <col min="5346" max="5347" width="6" style="157" customWidth="1"/>
    <col min="5348" max="5348" width="15.75" style="157" customWidth="1"/>
    <col min="5349" max="5349" width="6.875" style="157" customWidth="1"/>
    <col min="5350" max="5350" width="12.75" style="157" customWidth="1"/>
    <col min="5351" max="5351" width="5.5" style="157" customWidth="1"/>
    <col min="5352" max="5352" width="6.25" style="157" customWidth="1"/>
    <col min="5353" max="5353" width="9" style="157" customWidth="1"/>
    <col min="5354" max="5354" width="8.5" style="157" customWidth="1"/>
    <col min="5355" max="5355" width="6.375" style="157" customWidth="1"/>
    <col min="5356" max="5356" width="9.875" style="157" customWidth="1"/>
    <col min="5357" max="5357" width="12.875" style="157" customWidth="1"/>
    <col min="5358" max="5358" width="12.625" style="157" customWidth="1"/>
    <col min="5359" max="5596" width="10" style="157"/>
    <col min="5597" max="5597" width="4.125" style="157" customWidth="1"/>
    <col min="5598" max="5598" width="20.5" style="157" customWidth="1"/>
    <col min="5599" max="5599" width="16.5" style="157" customWidth="1"/>
    <col min="5600" max="5600" width="14.625" style="157" customWidth="1"/>
    <col min="5601" max="5601" width="6.125" style="157" customWidth="1"/>
    <col min="5602" max="5603" width="6" style="157" customWidth="1"/>
    <col min="5604" max="5604" width="15.75" style="157" customWidth="1"/>
    <col min="5605" max="5605" width="6.875" style="157" customWidth="1"/>
    <col min="5606" max="5606" width="12.75" style="157" customWidth="1"/>
    <col min="5607" max="5607" width="5.5" style="157" customWidth="1"/>
    <col min="5608" max="5608" width="6.25" style="157" customWidth="1"/>
    <col min="5609" max="5609" width="9" style="157" customWidth="1"/>
    <col min="5610" max="5610" width="8.5" style="157" customWidth="1"/>
    <col min="5611" max="5611" width="6.375" style="157" customWidth="1"/>
    <col min="5612" max="5612" width="9.875" style="157" customWidth="1"/>
    <col min="5613" max="5613" width="12.875" style="157" customWidth="1"/>
    <col min="5614" max="5614" width="12.625" style="157" customWidth="1"/>
    <col min="5615" max="5852" width="10" style="157"/>
    <col min="5853" max="5853" width="4.125" style="157" customWidth="1"/>
    <col min="5854" max="5854" width="20.5" style="157" customWidth="1"/>
    <col min="5855" max="5855" width="16.5" style="157" customWidth="1"/>
    <col min="5856" max="5856" width="14.625" style="157" customWidth="1"/>
    <col min="5857" max="5857" width="6.125" style="157" customWidth="1"/>
    <col min="5858" max="5859" width="6" style="157" customWidth="1"/>
    <col min="5860" max="5860" width="15.75" style="157" customWidth="1"/>
    <col min="5861" max="5861" width="6.875" style="157" customWidth="1"/>
    <col min="5862" max="5862" width="12.75" style="157" customWidth="1"/>
    <col min="5863" max="5863" width="5.5" style="157" customWidth="1"/>
    <col min="5864" max="5864" width="6.25" style="157" customWidth="1"/>
    <col min="5865" max="5865" width="9" style="157" customWidth="1"/>
    <col min="5866" max="5866" width="8.5" style="157" customWidth="1"/>
    <col min="5867" max="5867" width="6.375" style="157" customWidth="1"/>
    <col min="5868" max="5868" width="9.875" style="157" customWidth="1"/>
    <col min="5869" max="5869" width="12.875" style="157" customWidth="1"/>
    <col min="5870" max="5870" width="12.625" style="157" customWidth="1"/>
    <col min="5871" max="6108" width="10" style="157"/>
    <col min="6109" max="6109" width="4.125" style="157" customWidth="1"/>
    <col min="6110" max="6110" width="20.5" style="157" customWidth="1"/>
    <col min="6111" max="6111" width="16.5" style="157" customWidth="1"/>
    <col min="6112" max="6112" width="14.625" style="157" customWidth="1"/>
    <col min="6113" max="6113" width="6.125" style="157" customWidth="1"/>
    <col min="6114" max="6115" width="6" style="157" customWidth="1"/>
    <col min="6116" max="6116" width="15.75" style="157" customWidth="1"/>
    <col min="6117" max="6117" width="6.875" style="157" customWidth="1"/>
    <col min="6118" max="6118" width="12.75" style="157" customWidth="1"/>
    <col min="6119" max="6119" width="5.5" style="157" customWidth="1"/>
    <col min="6120" max="6120" width="6.25" style="157" customWidth="1"/>
    <col min="6121" max="6121" width="9" style="157" customWidth="1"/>
    <col min="6122" max="6122" width="8.5" style="157" customWidth="1"/>
    <col min="6123" max="6123" width="6.375" style="157" customWidth="1"/>
    <col min="6124" max="6124" width="9.875" style="157" customWidth="1"/>
    <col min="6125" max="6125" width="12.875" style="157" customWidth="1"/>
    <col min="6126" max="6126" width="12.625" style="157" customWidth="1"/>
    <col min="6127" max="6364" width="10" style="157"/>
    <col min="6365" max="6365" width="4.125" style="157" customWidth="1"/>
    <col min="6366" max="6366" width="20.5" style="157" customWidth="1"/>
    <col min="6367" max="6367" width="16.5" style="157" customWidth="1"/>
    <col min="6368" max="6368" width="14.625" style="157" customWidth="1"/>
    <col min="6369" max="6369" width="6.125" style="157" customWidth="1"/>
    <col min="6370" max="6371" width="6" style="157" customWidth="1"/>
    <col min="6372" max="6372" width="15.75" style="157" customWidth="1"/>
    <col min="6373" max="6373" width="6.875" style="157" customWidth="1"/>
    <col min="6374" max="6374" width="12.75" style="157" customWidth="1"/>
    <col min="6375" max="6375" width="5.5" style="157" customWidth="1"/>
    <col min="6376" max="6376" width="6.25" style="157" customWidth="1"/>
    <col min="6377" max="6377" width="9" style="157" customWidth="1"/>
    <col min="6378" max="6378" width="8.5" style="157" customWidth="1"/>
    <col min="6379" max="6379" width="6.375" style="157" customWidth="1"/>
    <col min="6380" max="6380" width="9.875" style="157" customWidth="1"/>
    <col min="6381" max="6381" width="12.875" style="157" customWidth="1"/>
    <col min="6382" max="6382" width="12.625" style="157" customWidth="1"/>
    <col min="6383" max="6620" width="10" style="157"/>
    <col min="6621" max="6621" width="4.125" style="157" customWidth="1"/>
    <col min="6622" max="6622" width="20.5" style="157" customWidth="1"/>
    <col min="6623" max="6623" width="16.5" style="157" customWidth="1"/>
    <col min="6624" max="6624" width="14.625" style="157" customWidth="1"/>
    <col min="6625" max="6625" width="6.125" style="157" customWidth="1"/>
    <col min="6626" max="6627" width="6" style="157" customWidth="1"/>
    <col min="6628" max="6628" width="15.75" style="157" customWidth="1"/>
    <col min="6629" max="6629" width="6.875" style="157" customWidth="1"/>
    <col min="6630" max="6630" width="12.75" style="157" customWidth="1"/>
    <col min="6631" max="6631" width="5.5" style="157" customWidth="1"/>
    <col min="6632" max="6632" width="6.25" style="157" customWidth="1"/>
    <col min="6633" max="6633" width="9" style="157" customWidth="1"/>
    <col min="6634" max="6634" width="8.5" style="157" customWidth="1"/>
    <col min="6635" max="6635" width="6.375" style="157" customWidth="1"/>
    <col min="6636" max="6636" width="9.875" style="157" customWidth="1"/>
    <col min="6637" max="6637" width="12.875" style="157" customWidth="1"/>
    <col min="6638" max="6638" width="12.625" style="157" customWidth="1"/>
    <col min="6639" max="6876" width="10" style="157"/>
    <col min="6877" max="6877" width="4.125" style="157" customWidth="1"/>
    <col min="6878" max="6878" width="20.5" style="157" customWidth="1"/>
    <col min="6879" max="6879" width="16.5" style="157" customWidth="1"/>
    <col min="6880" max="6880" width="14.625" style="157" customWidth="1"/>
    <col min="6881" max="6881" width="6.125" style="157" customWidth="1"/>
    <col min="6882" max="6883" width="6" style="157" customWidth="1"/>
    <col min="6884" max="6884" width="15.75" style="157" customWidth="1"/>
    <col min="6885" max="6885" width="6.875" style="157" customWidth="1"/>
    <col min="6886" max="6886" width="12.75" style="157" customWidth="1"/>
    <col min="6887" max="6887" width="5.5" style="157" customWidth="1"/>
    <col min="6888" max="6888" width="6.25" style="157" customWidth="1"/>
    <col min="6889" max="6889" width="9" style="157" customWidth="1"/>
    <col min="6890" max="6890" width="8.5" style="157" customWidth="1"/>
    <col min="6891" max="6891" width="6.375" style="157" customWidth="1"/>
    <col min="6892" max="6892" width="9.875" style="157" customWidth="1"/>
    <col min="6893" max="6893" width="12.875" style="157" customWidth="1"/>
    <col min="6894" max="6894" width="12.625" style="157" customWidth="1"/>
    <col min="6895" max="7132" width="10" style="157"/>
    <col min="7133" max="7133" width="4.125" style="157" customWidth="1"/>
    <col min="7134" max="7134" width="20.5" style="157" customWidth="1"/>
    <col min="7135" max="7135" width="16.5" style="157" customWidth="1"/>
    <col min="7136" max="7136" width="14.625" style="157" customWidth="1"/>
    <col min="7137" max="7137" width="6.125" style="157" customWidth="1"/>
    <col min="7138" max="7139" width="6" style="157" customWidth="1"/>
    <col min="7140" max="7140" width="15.75" style="157" customWidth="1"/>
    <col min="7141" max="7141" width="6.875" style="157" customWidth="1"/>
    <col min="7142" max="7142" width="12.75" style="157" customWidth="1"/>
    <col min="7143" max="7143" width="5.5" style="157" customWidth="1"/>
    <col min="7144" max="7144" width="6.25" style="157" customWidth="1"/>
    <col min="7145" max="7145" width="9" style="157" customWidth="1"/>
    <col min="7146" max="7146" width="8.5" style="157" customWidth="1"/>
    <col min="7147" max="7147" width="6.375" style="157" customWidth="1"/>
    <col min="7148" max="7148" width="9.875" style="157" customWidth="1"/>
    <col min="7149" max="7149" width="12.875" style="157" customWidth="1"/>
    <col min="7150" max="7150" width="12.625" style="157" customWidth="1"/>
    <col min="7151" max="7388" width="10" style="157"/>
    <col min="7389" max="7389" width="4.125" style="157" customWidth="1"/>
    <col min="7390" max="7390" width="20.5" style="157" customWidth="1"/>
    <col min="7391" max="7391" width="16.5" style="157" customWidth="1"/>
    <col min="7392" max="7392" width="14.625" style="157" customWidth="1"/>
    <col min="7393" max="7393" width="6.125" style="157" customWidth="1"/>
    <col min="7394" max="7395" width="6" style="157" customWidth="1"/>
    <col min="7396" max="7396" width="15.75" style="157" customWidth="1"/>
    <col min="7397" max="7397" width="6.875" style="157" customWidth="1"/>
    <col min="7398" max="7398" width="12.75" style="157" customWidth="1"/>
    <col min="7399" max="7399" width="5.5" style="157" customWidth="1"/>
    <col min="7400" max="7400" width="6.25" style="157" customWidth="1"/>
    <col min="7401" max="7401" width="9" style="157" customWidth="1"/>
    <col min="7402" max="7402" width="8.5" style="157" customWidth="1"/>
    <col min="7403" max="7403" width="6.375" style="157" customWidth="1"/>
    <col min="7404" max="7404" width="9.875" style="157" customWidth="1"/>
    <col min="7405" max="7405" width="12.875" style="157" customWidth="1"/>
    <col min="7406" max="7406" width="12.625" style="157" customWidth="1"/>
    <col min="7407" max="7644" width="10" style="157"/>
    <col min="7645" max="7645" width="4.125" style="157" customWidth="1"/>
    <col min="7646" max="7646" width="20.5" style="157" customWidth="1"/>
    <col min="7647" max="7647" width="16.5" style="157" customWidth="1"/>
    <col min="7648" max="7648" width="14.625" style="157" customWidth="1"/>
    <col min="7649" max="7649" width="6.125" style="157" customWidth="1"/>
    <col min="7650" max="7651" width="6" style="157" customWidth="1"/>
    <col min="7652" max="7652" width="15.75" style="157" customWidth="1"/>
    <col min="7653" max="7653" width="6.875" style="157" customWidth="1"/>
    <col min="7654" max="7654" width="12.75" style="157" customWidth="1"/>
    <col min="7655" max="7655" width="5.5" style="157" customWidth="1"/>
    <col min="7656" max="7656" width="6.25" style="157" customWidth="1"/>
    <col min="7657" max="7657" width="9" style="157" customWidth="1"/>
    <col min="7658" max="7658" width="8.5" style="157" customWidth="1"/>
    <col min="7659" max="7659" width="6.375" style="157" customWidth="1"/>
    <col min="7660" max="7660" width="9.875" style="157" customWidth="1"/>
    <col min="7661" max="7661" width="12.875" style="157" customWidth="1"/>
    <col min="7662" max="7662" width="12.625" style="157" customWidth="1"/>
    <col min="7663" max="7900" width="10" style="157"/>
    <col min="7901" max="7901" width="4.125" style="157" customWidth="1"/>
    <col min="7902" max="7902" width="20.5" style="157" customWidth="1"/>
    <col min="7903" max="7903" width="16.5" style="157" customWidth="1"/>
    <col min="7904" max="7904" width="14.625" style="157" customWidth="1"/>
    <col min="7905" max="7905" width="6.125" style="157" customWidth="1"/>
    <col min="7906" max="7907" width="6" style="157" customWidth="1"/>
    <col min="7908" max="7908" width="15.75" style="157" customWidth="1"/>
    <col min="7909" max="7909" width="6.875" style="157" customWidth="1"/>
    <col min="7910" max="7910" width="12.75" style="157" customWidth="1"/>
    <col min="7911" max="7911" width="5.5" style="157" customWidth="1"/>
    <col min="7912" max="7912" width="6.25" style="157" customWidth="1"/>
    <col min="7913" max="7913" width="9" style="157" customWidth="1"/>
    <col min="7914" max="7914" width="8.5" style="157" customWidth="1"/>
    <col min="7915" max="7915" width="6.375" style="157" customWidth="1"/>
    <col min="7916" max="7916" width="9.875" style="157" customWidth="1"/>
    <col min="7917" max="7917" width="12.875" style="157" customWidth="1"/>
    <col min="7918" max="7918" width="12.625" style="157" customWidth="1"/>
    <col min="7919" max="8156" width="10" style="157"/>
    <col min="8157" max="8157" width="4.125" style="157" customWidth="1"/>
    <col min="8158" max="8158" width="20.5" style="157" customWidth="1"/>
    <col min="8159" max="8159" width="16.5" style="157" customWidth="1"/>
    <col min="8160" max="8160" width="14.625" style="157" customWidth="1"/>
    <col min="8161" max="8161" width="6.125" style="157" customWidth="1"/>
    <col min="8162" max="8163" width="6" style="157" customWidth="1"/>
    <col min="8164" max="8164" width="15.75" style="157" customWidth="1"/>
    <col min="8165" max="8165" width="6.875" style="157" customWidth="1"/>
    <col min="8166" max="8166" width="12.75" style="157" customWidth="1"/>
    <col min="8167" max="8167" width="5.5" style="157" customWidth="1"/>
    <col min="8168" max="8168" width="6.25" style="157" customWidth="1"/>
    <col min="8169" max="8169" width="9" style="157" customWidth="1"/>
    <col min="8170" max="8170" width="8.5" style="157" customWidth="1"/>
    <col min="8171" max="8171" width="6.375" style="157" customWidth="1"/>
    <col min="8172" max="8172" width="9.875" style="157" customWidth="1"/>
    <col min="8173" max="8173" width="12.875" style="157" customWidth="1"/>
    <col min="8174" max="8174" width="12.625" style="157" customWidth="1"/>
    <col min="8175" max="8412" width="10" style="157"/>
    <col min="8413" max="8413" width="4.125" style="157" customWidth="1"/>
    <col min="8414" max="8414" width="20.5" style="157" customWidth="1"/>
    <col min="8415" max="8415" width="16.5" style="157" customWidth="1"/>
    <col min="8416" max="8416" width="14.625" style="157" customWidth="1"/>
    <col min="8417" max="8417" width="6.125" style="157" customWidth="1"/>
    <col min="8418" max="8419" width="6" style="157" customWidth="1"/>
    <col min="8420" max="8420" width="15.75" style="157" customWidth="1"/>
    <col min="8421" max="8421" width="6.875" style="157" customWidth="1"/>
    <col min="8422" max="8422" width="12.75" style="157" customWidth="1"/>
    <col min="8423" max="8423" width="5.5" style="157" customWidth="1"/>
    <col min="8424" max="8424" width="6.25" style="157" customWidth="1"/>
    <col min="8425" max="8425" width="9" style="157" customWidth="1"/>
    <col min="8426" max="8426" width="8.5" style="157" customWidth="1"/>
    <col min="8427" max="8427" width="6.375" style="157" customWidth="1"/>
    <col min="8428" max="8428" width="9.875" style="157" customWidth="1"/>
    <col min="8429" max="8429" width="12.875" style="157" customWidth="1"/>
    <col min="8430" max="8430" width="12.625" style="157" customWidth="1"/>
    <col min="8431" max="8668" width="10" style="157"/>
    <col min="8669" max="8669" width="4.125" style="157" customWidth="1"/>
    <col min="8670" max="8670" width="20.5" style="157" customWidth="1"/>
    <col min="8671" max="8671" width="16.5" style="157" customWidth="1"/>
    <col min="8672" max="8672" width="14.625" style="157" customWidth="1"/>
    <col min="8673" max="8673" width="6.125" style="157" customWidth="1"/>
    <col min="8674" max="8675" width="6" style="157" customWidth="1"/>
    <col min="8676" max="8676" width="15.75" style="157" customWidth="1"/>
    <col min="8677" max="8677" width="6.875" style="157" customWidth="1"/>
    <col min="8678" max="8678" width="12.75" style="157" customWidth="1"/>
    <col min="8679" max="8679" width="5.5" style="157" customWidth="1"/>
    <col min="8680" max="8680" width="6.25" style="157" customWidth="1"/>
    <col min="8681" max="8681" width="9" style="157" customWidth="1"/>
    <col min="8682" max="8682" width="8.5" style="157" customWidth="1"/>
    <col min="8683" max="8683" width="6.375" style="157" customWidth="1"/>
    <col min="8684" max="8684" width="9.875" style="157" customWidth="1"/>
    <col min="8685" max="8685" width="12.875" style="157" customWidth="1"/>
    <col min="8686" max="8686" width="12.625" style="157" customWidth="1"/>
    <col min="8687" max="8924" width="10" style="157"/>
    <col min="8925" max="8925" width="4.125" style="157" customWidth="1"/>
    <col min="8926" max="8926" width="20.5" style="157" customWidth="1"/>
    <col min="8927" max="8927" width="16.5" style="157" customWidth="1"/>
    <col min="8928" max="8928" width="14.625" style="157" customWidth="1"/>
    <col min="8929" max="8929" width="6.125" style="157" customWidth="1"/>
    <col min="8930" max="8931" width="6" style="157" customWidth="1"/>
    <col min="8932" max="8932" width="15.75" style="157" customWidth="1"/>
    <col min="8933" max="8933" width="6.875" style="157" customWidth="1"/>
    <col min="8934" max="8934" width="12.75" style="157" customWidth="1"/>
    <col min="8935" max="8935" width="5.5" style="157" customWidth="1"/>
    <col min="8936" max="8936" width="6.25" style="157" customWidth="1"/>
    <col min="8937" max="8937" width="9" style="157" customWidth="1"/>
    <col min="8938" max="8938" width="8.5" style="157" customWidth="1"/>
    <col min="8939" max="8939" width="6.375" style="157" customWidth="1"/>
    <col min="8940" max="8940" width="9.875" style="157" customWidth="1"/>
    <col min="8941" max="8941" width="12.875" style="157" customWidth="1"/>
    <col min="8942" max="8942" width="12.625" style="157" customWidth="1"/>
    <col min="8943" max="9180" width="10" style="157"/>
    <col min="9181" max="9181" width="4.125" style="157" customWidth="1"/>
    <col min="9182" max="9182" width="20.5" style="157" customWidth="1"/>
    <col min="9183" max="9183" width="16.5" style="157" customWidth="1"/>
    <col min="9184" max="9184" width="14.625" style="157" customWidth="1"/>
    <col min="9185" max="9185" width="6.125" style="157" customWidth="1"/>
    <col min="9186" max="9187" width="6" style="157" customWidth="1"/>
    <col min="9188" max="9188" width="15.75" style="157" customWidth="1"/>
    <col min="9189" max="9189" width="6.875" style="157" customWidth="1"/>
    <col min="9190" max="9190" width="12.75" style="157" customWidth="1"/>
    <col min="9191" max="9191" width="5.5" style="157" customWidth="1"/>
    <col min="9192" max="9192" width="6.25" style="157" customWidth="1"/>
    <col min="9193" max="9193" width="9" style="157" customWidth="1"/>
    <col min="9194" max="9194" width="8.5" style="157" customWidth="1"/>
    <col min="9195" max="9195" width="6.375" style="157" customWidth="1"/>
    <col min="9196" max="9196" width="9.875" style="157" customWidth="1"/>
    <col min="9197" max="9197" width="12.875" style="157" customWidth="1"/>
    <col min="9198" max="9198" width="12.625" style="157" customWidth="1"/>
    <col min="9199" max="9436" width="10" style="157"/>
    <col min="9437" max="9437" width="4.125" style="157" customWidth="1"/>
    <col min="9438" max="9438" width="20.5" style="157" customWidth="1"/>
    <col min="9439" max="9439" width="16.5" style="157" customWidth="1"/>
    <col min="9440" max="9440" width="14.625" style="157" customWidth="1"/>
    <col min="9441" max="9441" width="6.125" style="157" customWidth="1"/>
    <col min="9442" max="9443" width="6" style="157" customWidth="1"/>
    <col min="9444" max="9444" width="15.75" style="157" customWidth="1"/>
    <col min="9445" max="9445" width="6.875" style="157" customWidth="1"/>
    <col min="9446" max="9446" width="12.75" style="157" customWidth="1"/>
    <col min="9447" max="9447" width="5.5" style="157" customWidth="1"/>
    <col min="9448" max="9448" width="6.25" style="157" customWidth="1"/>
    <col min="9449" max="9449" width="9" style="157" customWidth="1"/>
    <col min="9450" max="9450" width="8.5" style="157" customWidth="1"/>
    <col min="9451" max="9451" width="6.375" style="157" customWidth="1"/>
    <col min="9452" max="9452" width="9.875" style="157" customWidth="1"/>
    <col min="9453" max="9453" width="12.875" style="157" customWidth="1"/>
    <col min="9454" max="9454" width="12.625" style="157" customWidth="1"/>
    <col min="9455" max="9692" width="10" style="157"/>
    <col min="9693" max="9693" width="4.125" style="157" customWidth="1"/>
    <col min="9694" max="9694" width="20.5" style="157" customWidth="1"/>
    <col min="9695" max="9695" width="16.5" style="157" customWidth="1"/>
    <col min="9696" max="9696" width="14.625" style="157" customWidth="1"/>
    <col min="9697" max="9697" width="6.125" style="157" customWidth="1"/>
    <col min="9698" max="9699" width="6" style="157" customWidth="1"/>
    <col min="9700" max="9700" width="15.75" style="157" customWidth="1"/>
    <col min="9701" max="9701" width="6.875" style="157" customWidth="1"/>
    <col min="9702" max="9702" width="12.75" style="157" customWidth="1"/>
    <col min="9703" max="9703" width="5.5" style="157" customWidth="1"/>
    <col min="9704" max="9704" width="6.25" style="157" customWidth="1"/>
    <col min="9705" max="9705" width="9" style="157" customWidth="1"/>
    <col min="9706" max="9706" width="8.5" style="157" customWidth="1"/>
    <col min="9707" max="9707" width="6.375" style="157" customWidth="1"/>
    <col min="9708" max="9708" width="9.875" style="157" customWidth="1"/>
    <col min="9709" max="9709" width="12.875" style="157" customWidth="1"/>
    <col min="9710" max="9710" width="12.625" style="157" customWidth="1"/>
    <col min="9711" max="9948" width="10" style="157"/>
    <col min="9949" max="9949" width="4.125" style="157" customWidth="1"/>
    <col min="9950" max="9950" width="20.5" style="157" customWidth="1"/>
    <col min="9951" max="9951" width="16.5" style="157" customWidth="1"/>
    <col min="9952" max="9952" width="14.625" style="157" customWidth="1"/>
    <col min="9953" max="9953" width="6.125" style="157" customWidth="1"/>
    <col min="9954" max="9955" width="6" style="157" customWidth="1"/>
    <col min="9956" max="9956" width="15.75" style="157" customWidth="1"/>
    <col min="9957" max="9957" width="6.875" style="157" customWidth="1"/>
    <col min="9958" max="9958" width="12.75" style="157" customWidth="1"/>
    <col min="9959" max="9959" width="5.5" style="157" customWidth="1"/>
    <col min="9960" max="9960" width="6.25" style="157" customWidth="1"/>
    <col min="9961" max="9961" width="9" style="157" customWidth="1"/>
    <col min="9962" max="9962" width="8.5" style="157" customWidth="1"/>
    <col min="9963" max="9963" width="6.375" style="157" customWidth="1"/>
    <col min="9964" max="9964" width="9.875" style="157" customWidth="1"/>
    <col min="9965" max="9965" width="12.875" style="157" customWidth="1"/>
    <col min="9966" max="9966" width="12.625" style="157" customWidth="1"/>
    <col min="9967" max="10204" width="10" style="157"/>
    <col min="10205" max="10205" width="4.125" style="157" customWidth="1"/>
    <col min="10206" max="10206" width="20.5" style="157" customWidth="1"/>
    <col min="10207" max="10207" width="16.5" style="157" customWidth="1"/>
    <col min="10208" max="10208" width="14.625" style="157" customWidth="1"/>
    <col min="10209" max="10209" width="6.125" style="157" customWidth="1"/>
    <col min="10210" max="10211" width="6" style="157" customWidth="1"/>
    <col min="10212" max="10212" width="15.75" style="157" customWidth="1"/>
    <col min="10213" max="10213" width="6.875" style="157" customWidth="1"/>
    <col min="10214" max="10214" width="12.75" style="157" customWidth="1"/>
    <col min="10215" max="10215" width="5.5" style="157" customWidth="1"/>
    <col min="10216" max="10216" width="6.25" style="157" customWidth="1"/>
    <col min="10217" max="10217" width="9" style="157" customWidth="1"/>
    <col min="10218" max="10218" width="8.5" style="157" customWidth="1"/>
    <col min="10219" max="10219" width="6.375" style="157" customWidth="1"/>
    <col min="10220" max="10220" width="9.875" style="157" customWidth="1"/>
    <col min="10221" max="10221" width="12.875" style="157" customWidth="1"/>
    <col min="10222" max="10222" width="12.625" style="157" customWidth="1"/>
    <col min="10223" max="10460" width="10" style="157"/>
    <col min="10461" max="10461" width="4.125" style="157" customWidth="1"/>
    <col min="10462" max="10462" width="20.5" style="157" customWidth="1"/>
    <col min="10463" max="10463" width="16.5" style="157" customWidth="1"/>
    <col min="10464" max="10464" width="14.625" style="157" customWidth="1"/>
    <col min="10465" max="10465" width="6.125" style="157" customWidth="1"/>
    <col min="10466" max="10467" width="6" style="157" customWidth="1"/>
    <col min="10468" max="10468" width="15.75" style="157" customWidth="1"/>
    <col min="10469" max="10469" width="6.875" style="157" customWidth="1"/>
    <col min="10470" max="10470" width="12.75" style="157" customWidth="1"/>
    <col min="10471" max="10471" width="5.5" style="157" customWidth="1"/>
    <col min="10472" max="10472" width="6.25" style="157" customWidth="1"/>
    <col min="10473" max="10473" width="9" style="157" customWidth="1"/>
    <col min="10474" max="10474" width="8.5" style="157" customWidth="1"/>
    <col min="10475" max="10475" width="6.375" style="157" customWidth="1"/>
    <col min="10476" max="10476" width="9.875" style="157" customWidth="1"/>
    <col min="10477" max="10477" width="12.875" style="157" customWidth="1"/>
    <col min="10478" max="10478" width="12.625" style="157" customWidth="1"/>
    <col min="10479" max="10716" width="10" style="157"/>
    <col min="10717" max="10717" width="4.125" style="157" customWidth="1"/>
    <col min="10718" max="10718" width="20.5" style="157" customWidth="1"/>
    <col min="10719" max="10719" width="16.5" style="157" customWidth="1"/>
    <col min="10720" max="10720" width="14.625" style="157" customWidth="1"/>
    <col min="10721" max="10721" width="6.125" style="157" customWidth="1"/>
    <col min="10722" max="10723" width="6" style="157" customWidth="1"/>
    <col min="10724" max="10724" width="15.75" style="157" customWidth="1"/>
    <col min="10725" max="10725" width="6.875" style="157" customWidth="1"/>
    <col min="10726" max="10726" width="12.75" style="157" customWidth="1"/>
    <col min="10727" max="10727" width="5.5" style="157" customWidth="1"/>
    <col min="10728" max="10728" width="6.25" style="157" customWidth="1"/>
    <col min="10729" max="10729" width="9" style="157" customWidth="1"/>
    <col min="10730" max="10730" width="8.5" style="157" customWidth="1"/>
    <col min="10731" max="10731" width="6.375" style="157" customWidth="1"/>
    <col min="10732" max="10732" width="9.875" style="157" customWidth="1"/>
    <col min="10733" max="10733" width="12.875" style="157" customWidth="1"/>
    <col min="10734" max="10734" width="12.625" style="157" customWidth="1"/>
    <col min="10735" max="10972" width="10" style="157"/>
    <col min="10973" max="10973" width="4.125" style="157" customWidth="1"/>
    <col min="10974" max="10974" width="20.5" style="157" customWidth="1"/>
    <col min="10975" max="10975" width="16.5" style="157" customWidth="1"/>
    <col min="10976" max="10976" width="14.625" style="157" customWidth="1"/>
    <col min="10977" max="10977" width="6.125" style="157" customWidth="1"/>
    <col min="10978" max="10979" width="6" style="157" customWidth="1"/>
    <col min="10980" max="10980" width="15.75" style="157" customWidth="1"/>
    <col min="10981" max="10981" width="6.875" style="157" customWidth="1"/>
    <col min="10982" max="10982" width="12.75" style="157" customWidth="1"/>
    <col min="10983" max="10983" width="5.5" style="157" customWidth="1"/>
    <col min="10984" max="10984" width="6.25" style="157" customWidth="1"/>
    <col min="10985" max="10985" width="9" style="157" customWidth="1"/>
    <col min="10986" max="10986" width="8.5" style="157" customWidth="1"/>
    <col min="10987" max="10987" width="6.375" style="157" customWidth="1"/>
    <col min="10988" max="10988" width="9.875" style="157" customWidth="1"/>
    <col min="10989" max="10989" width="12.875" style="157" customWidth="1"/>
    <col min="10990" max="10990" width="12.625" style="157" customWidth="1"/>
    <col min="10991" max="11228" width="10" style="157"/>
    <col min="11229" max="11229" width="4.125" style="157" customWidth="1"/>
    <col min="11230" max="11230" width="20.5" style="157" customWidth="1"/>
    <col min="11231" max="11231" width="16.5" style="157" customWidth="1"/>
    <col min="11232" max="11232" width="14.625" style="157" customWidth="1"/>
    <col min="11233" max="11233" width="6.125" style="157" customWidth="1"/>
    <col min="11234" max="11235" width="6" style="157" customWidth="1"/>
    <col min="11236" max="11236" width="15.75" style="157" customWidth="1"/>
    <col min="11237" max="11237" width="6.875" style="157" customWidth="1"/>
    <col min="11238" max="11238" width="12.75" style="157" customWidth="1"/>
    <col min="11239" max="11239" width="5.5" style="157" customWidth="1"/>
    <col min="11240" max="11240" width="6.25" style="157" customWidth="1"/>
    <col min="11241" max="11241" width="9" style="157" customWidth="1"/>
    <col min="11242" max="11242" width="8.5" style="157" customWidth="1"/>
    <col min="11243" max="11243" width="6.375" style="157" customWidth="1"/>
    <col min="11244" max="11244" width="9.875" style="157" customWidth="1"/>
    <col min="11245" max="11245" width="12.875" style="157" customWidth="1"/>
    <col min="11246" max="11246" width="12.625" style="157" customWidth="1"/>
    <col min="11247" max="11484" width="10" style="157"/>
    <col min="11485" max="11485" width="4.125" style="157" customWidth="1"/>
    <col min="11486" max="11486" width="20.5" style="157" customWidth="1"/>
    <col min="11487" max="11487" width="16.5" style="157" customWidth="1"/>
    <col min="11488" max="11488" width="14.625" style="157" customWidth="1"/>
    <col min="11489" max="11489" width="6.125" style="157" customWidth="1"/>
    <col min="11490" max="11491" width="6" style="157" customWidth="1"/>
    <col min="11492" max="11492" width="15.75" style="157" customWidth="1"/>
    <col min="11493" max="11493" width="6.875" style="157" customWidth="1"/>
    <col min="11494" max="11494" width="12.75" style="157" customWidth="1"/>
    <col min="11495" max="11495" width="5.5" style="157" customWidth="1"/>
    <col min="11496" max="11496" width="6.25" style="157" customWidth="1"/>
    <col min="11497" max="11497" width="9" style="157" customWidth="1"/>
    <col min="11498" max="11498" width="8.5" style="157" customWidth="1"/>
    <col min="11499" max="11499" width="6.375" style="157" customWidth="1"/>
    <col min="11500" max="11500" width="9.875" style="157" customWidth="1"/>
    <col min="11501" max="11501" width="12.875" style="157" customWidth="1"/>
    <col min="11502" max="11502" width="12.625" style="157" customWidth="1"/>
    <col min="11503" max="11740" width="10" style="157"/>
    <col min="11741" max="11741" width="4.125" style="157" customWidth="1"/>
    <col min="11742" max="11742" width="20.5" style="157" customWidth="1"/>
    <col min="11743" max="11743" width="16.5" style="157" customWidth="1"/>
    <col min="11744" max="11744" width="14.625" style="157" customWidth="1"/>
    <col min="11745" max="11745" width="6.125" style="157" customWidth="1"/>
    <col min="11746" max="11747" width="6" style="157" customWidth="1"/>
    <col min="11748" max="11748" width="15.75" style="157" customWidth="1"/>
    <col min="11749" max="11749" width="6.875" style="157" customWidth="1"/>
    <col min="11750" max="11750" width="12.75" style="157" customWidth="1"/>
    <col min="11751" max="11751" width="5.5" style="157" customWidth="1"/>
    <col min="11752" max="11752" width="6.25" style="157" customWidth="1"/>
    <col min="11753" max="11753" width="9" style="157" customWidth="1"/>
    <col min="11754" max="11754" width="8.5" style="157" customWidth="1"/>
    <col min="11755" max="11755" width="6.375" style="157" customWidth="1"/>
    <col min="11756" max="11756" width="9.875" style="157" customWidth="1"/>
    <col min="11757" max="11757" width="12.875" style="157" customWidth="1"/>
    <col min="11758" max="11758" width="12.625" style="157" customWidth="1"/>
    <col min="11759" max="11996" width="10" style="157"/>
    <col min="11997" max="11997" width="4.125" style="157" customWidth="1"/>
    <col min="11998" max="11998" width="20.5" style="157" customWidth="1"/>
    <col min="11999" max="11999" width="16.5" style="157" customWidth="1"/>
    <col min="12000" max="12000" width="14.625" style="157" customWidth="1"/>
    <col min="12001" max="12001" width="6.125" style="157" customWidth="1"/>
    <col min="12002" max="12003" width="6" style="157" customWidth="1"/>
    <col min="12004" max="12004" width="15.75" style="157" customWidth="1"/>
    <col min="12005" max="12005" width="6.875" style="157" customWidth="1"/>
    <col min="12006" max="12006" width="12.75" style="157" customWidth="1"/>
    <col min="12007" max="12007" width="5.5" style="157" customWidth="1"/>
    <col min="12008" max="12008" width="6.25" style="157" customWidth="1"/>
    <col min="12009" max="12009" width="9" style="157" customWidth="1"/>
    <col min="12010" max="12010" width="8.5" style="157" customWidth="1"/>
    <col min="12011" max="12011" width="6.375" style="157" customWidth="1"/>
    <col min="12012" max="12012" width="9.875" style="157" customWidth="1"/>
    <col min="12013" max="12013" width="12.875" style="157" customWidth="1"/>
    <col min="12014" max="12014" width="12.625" style="157" customWidth="1"/>
    <col min="12015" max="12252" width="10" style="157"/>
    <col min="12253" max="12253" width="4.125" style="157" customWidth="1"/>
    <col min="12254" max="12254" width="20.5" style="157" customWidth="1"/>
    <col min="12255" max="12255" width="16.5" style="157" customWidth="1"/>
    <col min="12256" max="12256" width="14.625" style="157" customWidth="1"/>
    <col min="12257" max="12257" width="6.125" style="157" customWidth="1"/>
    <col min="12258" max="12259" width="6" style="157" customWidth="1"/>
    <col min="12260" max="12260" width="15.75" style="157" customWidth="1"/>
    <col min="12261" max="12261" width="6.875" style="157" customWidth="1"/>
    <col min="12262" max="12262" width="12.75" style="157" customWidth="1"/>
    <col min="12263" max="12263" width="5.5" style="157" customWidth="1"/>
    <col min="12264" max="12264" width="6.25" style="157" customWidth="1"/>
    <col min="12265" max="12265" width="9" style="157" customWidth="1"/>
    <col min="12266" max="12266" width="8.5" style="157" customWidth="1"/>
    <col min="12267" max="12267" width="6.375" style="157" customWidth="1"/>
    <col min="12268" max="12268" width="9.875" style="157" customWidth="1"/>
    <col min="12269" max="12269" width="12.875" style="157" customWidth="1"/>
    <col min="12270" max="12270" width="12.625" style="157" customWidth="1"/>
    <col min="12271" max="12508" width="10" style="157"/>
    <col min="12509" max="12509" width="4.125" style="157" customWidth="1"/>
    <col min="12510" max="12510" width="20.5" style="157" customWidth="1"/>
    <col min="12511" max="12511" width="16.5" style="157" customWidth="1"/>
    <col min="12512" max="12512" width="14.625" style="157" customWidth="1"/>
    <col min="12513" max="12513" width="6.125" style="157" customWidth="1"/>
    <col min="12514" max="12515" width="6" style="157" customWidth="1"/>
    <col min="12516" max="12516" width="15.75" style="157" customWidth="1"/>
    <col min="12517" max="12517" width="6.875" style="157" customWidth="1"/>
    <col min="12518" max="12518" width="12.75" style="157" customWidth="1"/>
    <col min="12519" max="12519" width="5.5" style="157" customWidth="1"/>
    <col min="12520" max="12520" width="6.25" style="157" customWidth="1"/>
    <col min="12521" max="12521" width="9" style="157" customWidth="1"/>
    <col min="12522" max="12522" width="8.5" style="157" customWidth="1"/>
    <col min="12523" max="12523" width="6.375" style="157" customWidth="1"/>
    <col min="12524" max="12524" width="9.875" style="157" customWidth="1"/>
    <col min="12525" max="12525" width="12.875" style="157" customWidth="1"/>
    <col min="12526" max="12526" width="12.625" style="157" customWidth="1"/>
    <col min="12527" max="12764" width="10" style="157"/>
    <col min="12765" max="12765" width="4.125" style="157" customWidth="1"/>
    <col min="12766" max="12766" width="20.5" style="157" customWidth="1"/>
    <col min="12767" max="12767" width="16.5" style="157" customWidth="1"/>
    <col min="12768" max="12768" width="14.625" style="157" customWidth="1"/>
    <col min="12769" max="12769" width="6.125" style="157" customWidth="1"/>
    <col min="12770" max="12771" width="6" style="157" customWidth="1"/>
    <col min="12772" max="12772" width="15.75" style="157" customWidth="1"/>
    <col min="12773" max="12773" width="6.875" style="157" customWidth="1"/>
    <col min="12774" max="12774" width="12.75" style="157" customWidth="1"/>
    <col min="12775" max="12775" width="5.5" style="157" customWidth="1"/>
    <col min="12776" max="12776" width="6.25" style="157" customWidth="1"/>
    <col min="12777" max="12777" width="9" style="157" customWidth="1"/>
    <col min="12778" max="12778" width="8.5" style="157" customWidth="1"/>
    <col min="12779" max="12779" width="6.375" style="157" customWidth="1"/>
    <col min="12780" max="12780" width="9.875" style="157" customWidth="1"/>
    <col min="12781" max="12781" width="12.875" style="157" customWidth="1"/>
    <col min="12782" max="12782" width="12.625" style="157" customWidth="1"/>
    <col min="12783" max="13020" width="10" style="157"/>
    <col min="13021" max="13021" width="4.125" style="157" customWidth="1"/>
    <col min="13022" max="13022" width="20.5" style="157" customWidth="1"/>
    <col min="13023" max="13023" width="16.5" style="157" customWidth="1"/>
    <col min="13024" max="13024" width="14.625" style="157" customWidth="1"/>
    <col min="13025" max="13025" width="6.125" style="157" customWidth="1"/>
    <col min="13026" max="13027" width="6" style="157" customWidth="1"/>
    <col min="13028" max="13028" width="15.75" style="157" customWidth="1"/>
    <col min="13029" max="13029" width="6.875" style="157" customWidth="1"/>
    <col min="13030" max="13030" width="12.75" style="157" customWidth="1"/>
    <col min="13031" max="13031" width="5.5" style="157" customWidth="1"/>
    <col min="13032" max="13032" width="6.25" style="157" customWidth="1"/>
    <col min="13033" max="13033" width="9" style="157" customWidth="1"/>
    <col min="13034" max="13034" width="8.5" style="157" customWidth="1"/>
    <col min="13035" max="13035" width="6.375" style="157" customWidth="1"/>
    <col min="13036" max="13036" width="9.875" style="157" customWidth="1"/>
    <col min="13037" max="13037" width="12.875" style="157" customWidth="1"/>
    <col min="13038" max="13038" width="12.625" style="157" customWidth="1"/>
    <col min="13039" max="13276" width="10" style="157"/>
    <col min="13277" max="13277" width="4.125" style="157" customWidth="1"/>
    <col min="13278" max="13278" width="20.5" style="157" customWidth="1"/>
    <col min="13279" max="13279" width="16.5" style="157" customWidth="1"/>
    <col min="13280" max="13280" width="14.625" style="157" customWidth="1"/>
    <col min="13281" max="13281" width="6.125" style="157" customWidth="1"/>
    <col min="13282" max="13283" width="6" style="157" customWidth="1"/>
    <col min="13284" max="13284" width="15.75" style="157" customWidth="1"/>
    <col min="13285" max="13285" width="6.875" style="157" customWidth="1"/>
    <col min="13286" max="13286" width="12.75" style="157" customWidth="1"/>
    <col min="13287" max="13287" width="5.5" style="157" customWidth="1"/>
    <col min="13288" max="13288" width="6.25" style="157" customWidth="1"/>
    <col min="13289" max="13289" width="9" style="157" customWidth="1"/>
    <col min="13290" max="13290" width="8.5" style="157" customWidth="1"/>
    <col min="13291" max="13291" width="6.375" style="157" customWidth="1"/>
    <col min="13292" max="13292" width="9.875" style="157" customWidth="1"/>
    <col min="13293" max="13293" width="12.875" style="157" customWidth="1"/>
    <col min="13294" max="13294" width="12.625" style="157" customWidth="1"/>
    <col min="13295" max="13532" width="10" style="157"/>
    <col min="13533" max="13533" width="4.125" style="157" customWidth="1"/>
    <col min="13534" max="13534" width="20.5" style="157" customWidth="1"/>
    <col min="13535" max="13535" width="16.5" style="157" customWidth="1"/>
    <col min="13536" max="13536" width="14.625" style="157" customWidth="1"/>
    <col min="13537" max="13537" width="6.125" style="157" customWidth="1"/>
    <col min="13538" max="13539" width="6" style="157" customWidth="1"/>
    <col min="13540" max="13540" width="15.75" style="157" customWidth="1"/>
    <col min="13541" max="13541" width="6.875" style="157" customWidth="1"/>
    <col min="13542" max="13542" width="12.75" style="157" customWidth="1"/>
    <col min="13543" max="13543" width="5.5" style="157" customWidth="1"/>
    <col min="13544" max="13544" width="6.25" style="157" customWidth="1"/>
    <col min="13545" max="13545" width="9" style="157" customWidth="1"/>
    <col min="13546" max="13546" width="8.5" style="157" customWidth="1"/>
    <col min="13547" max="13547" width="6.375" style="157" customWidth="1"/>
    <col min="13548" max="13548" width="9.875" style="157" customWidth="1"/>
    <col min="13549" max="13549" width="12.875" style="157" customWidth="1"/>
    <col min="13550" max="13550" width="12.625" style="157" customWidth="1"/>
    <col min="13551" max="13788" width="10" style="157"/>
    <col min="13789" max="13789" width="4.125" style="157" customWidth="1"/>
    <col min="13790" max="13790" width="20.5" style="157" customWidth="1"/>
    <col min="13791" max="13791" width="16.5" style="157" customWidth="1"/>
    <col min="13792" max="13792" width="14.625" style="157" customWidth="1"/>
    <col min="13793" max="13793" width="6.125" style="157" customWidth="1"/>
    <col min="13794" max="13795" width="6" style="157" customWidth="1"/>
    <col min="13796" max="13796" width="15.75" style="157" customWidth="1"/>
    <col min="13797" max="13797" width="6.875" style="157" customWidth="1"/>
    <col min="13798" max="13798" width="12.75" style="157" customWidth="1"/>
    <col min="13799" max="13799" width="5.5" style="157" customWidth="1"/>
    <col min="13800" max="13800" width="6.25" style="157" customWidth="1"/>
    <col min="13801" max="13801" width="9" style="157" customWidth="1"/>
    <col min="13802" max="13802" width="8.5" style="157" customWidth="1"/>
    <col min="13803" max="13803" width="6.375" style="157" customWidth="1"/>
    <col min="13804" max="13804" width="9.875" style="157" customWidth="1"/>
    <col min="13805" max="13805" width="12.875" style="157" customWidth="1"/>
    <col min="13806" max="13806" width="12.625" style="157" customWidth="1"/>
    <col min="13807" max="14044" width="10" style="157"/>
    <col min="14045" max="14045" width="4.125" style="157" customWidth="1"/>
    <col min="14046" max="14046" width="20.5" style="157" customWidth="1"/>
    <col min="14047" max="14047" width="16.5" style="157" customWidth="1"/>
    <col min="14048" max="14048" width="14.625" style="157" customWidth="1"/>
    <col min="14049" max="14049" width="6.125" style="157" customWidth="1"/>
    <col min="14050" max="14051" width="6" style="157" customWidth="1"/>
    <col min="14052" max="14052" width="15.75" style="157" customWidth="1"/>
    <col min="14053" max="14053" width="6.875" style="157" customWidth="1"/>
    <col min="14054" max="14054" width="12.75" style="157" customWidth="1"/>
    <col min="14055" max="14055" width="5.5" style="157" customWidth="1"/>
    <col min="14056" max="14056" width="6.25" style="157" customWidth="1"/>
    <col min="14057" max="14057" width="9" style="157" customWidth="1"/>
    <col min="14058" max="14058" width="8.5" style="157" customWidth="1"/>
    <col min="14059" max="14059" width="6.375" style="157" customWidth="1"/>
    <col min="14060" max="14060" width="9.875" style="157" customWidth="1"/>
    <col min="14061" max="14061" width="12.875" style="157" customWidth="1"/>
    <col min="14062" max="14062" width="12.625" style="157" customWidth="1"/>
    <col min="14063" max="14300" width="10" style="157"/>
    <col min="14301" max="14301" width="4.125" style="157" customWidth="1"/>
    <col min="14302" max="14302" width="20.5" style="157" customWidth="1"/>
    <col min="14303" max="14303" width="16.5" style="157" customWidth="1"/>
    <col min="14304" max="14304" width="14.625" style="157" customWidth="1"/>
    <col min="14305" max="14305" width="6.125" style="157" customWidth="1"/>
    <col min="14306" max="14307" width="6" style="157" customWidth="1"/>
    <col min="14308" max="14308" width="15.75" style="157" customWidth="1"/>
    <col min="14309" max="14309" width="6.875" style="157" customWidth="1"/>
    <col min="14310" max="14310" width="12.75" style="157" customWidth="1"/>
    <col min="14311" max="14311" width="5.5" style="157" customWidth="1"/>
    <col min="14312" max="14312" width="6.25" style="157" customWidth="1"/>
    <col min="14313" max="14313" width="9" style="157" customWidth="1"/>
    <col min="14314" max="14314" width="8.5" style="157" customWidth="1"/>
    <col min="14315" max="14315" width="6.375" style="157" customWidth="1"/>
    <col min="14316" max="14316" width="9.875" style="157" customWidth="1"/>
    <col min="14317" max="14317" width="12.875" style="157" customWidth="1"/>
    <col min="14318" max="14318" width="12.625" style="157" customWidth="1"/>
    <col min="14319" max="14556" width="10" style="157"/>
    <col min="14557" max="14557" width="4.125" style="157" customWidth="1"/>
    <col min="14558" max="14558" width="20.5" style="157" customWidth="1"/>
    <col min="14559" max="14559" width="16.5" style="157" customWidth="1"/>
    <col min="14560" max="14560" width="14.625" style="157" customWidth="1"/>
    <col min="14561" max="14561" width="6.125" style="157" customWidth="1"/>
    <col min="14562" max="14563" width="6" style="157" customWidth="1"/>
    <col min="14564" max="14564" width="15.75" style="157" customWidth="1"/>
    <col min="14565" max="14565" width="6.875" style="157" customWidth="1"/>
    <col min="14566" max="14566" width="12.75" style="157" customWidth="1"/>
    <col min="14567" max="14567" width="5.5" style="157" customWidth="1"/>
    <col min="14568" max="14568" width="6.25" style="157" customWidth="1"/>
    <col min="14569" max="14569" width="9" style="157" customWidth="1"/>
    <col min="14570" max="14570" width="8.5" style="157" customWidth="1"/>
    <col min="14571" max="14571" width="6.375" style="157" customWidth="1"/>
    <col min="14572" max="14572" width="9.875" style="157" customWidth="1"/>
    <col min="14573" max="14573" width="12.875" style="157" customWidth="1"/>
    <col min="14574" max="14574" width="12.625" style="157" customWidth="1"/>
    <col min="14575" max="14812" width="10" style="157"/>
    <col min="14813" max="14813" width="4.125" style="157" customWidth="1"/>
    <col min="14814" max="14814" width="20.5" style="157" customWidth="1"/>
    <col min="14815" max="14815" width="16.5" style="157" customWidth="1"/>
    <col min="14816" max="14816" width="14.625" style="157" customWidth="1"/>
    <col min="14817" max="14817" width="6.125" style="157" customWidth="1"/>
    <col min="14818" max="14819" width="6" style="157" customWidth="1"/>
    <col min="14820" max="14820" width="15.75" style="157" customWidth="1"/>
    <col min="14821" max="14821" width="6.875" style="157" customWidth="1"/>
    <col min="14822" max="14822" width="12.75" style="157" customWidth="1"/>
    <col min="14823" max="14823" width="5.5" style="157" customWidth="1"/>
    <col min="14824" max="14824" width="6.25" style="157" customWidth="1"/>
    <col min="14825" max="14825" width="9" style="157" customWidth="1"/>
    <col min="14826" max="14826" width="8.5" style="157" customWidth="1"/>
    <col min="14827" max="14827" width="6.375" style="157" customWidth="1"/>
    <col min="14828" max="14828" width="9.875" style="157" customWidth="1"/>
    <col min="14829" max="14829" width="12.875" style="157" customWidth="1"/>
    <col min="14830" max="14830" width="12.625" style="157" customWidth="1"/>
    <col min="14831" max="15068" width="10" style="157"/>
    <col min="15069" max="15069" width="4.125" style="157" customWidth="1"/>
    <col min="15070" max="15070" width="20.5" style="157" customWidth="1"/>
    <col min="15071" max="15071" width="16.5" style="157" customWidth="1"/>
    <col min="15072" max="15072" width="14.625" style="157" customWidth="1"/>
    <col min="15073" max="15073" width="6.125" style="157" customWidth="1"/>
    <col min="15074" max="15075" width="6" style="157" customWidth="1"/>
    <col min="15076" max="15076" width="15.75" style="157" customWidth="1"/>
    <col min="15077" max="15077" width="6.875" style="157" customWidth="1"/>
    <col min="15078" max="15078" width="12.75" style="157" customWidth="1"/>
    <col min="15079" max="15079" width="5.5" style="157" customWidth="1"/>
    <col min="15080" max="15080" width="6.25" style="157" customWidth="1"/>
    <col min="15081" max="15081" width="9" style="157" customWidth="1"/>
    <col min="15082" max="15082" width="8.5" style="157" customWidth="1"/>
    <col min="15083" max="15083" width="6.375" style="157" customWidth="1"/>
    <col min="15084" max="15084" width="9.875" style="157" customWidth="1"/>
    <col min="15085" max="15085" width="12.875" style="157" customWidth="1"/>
    <col min="15086" max="15086" width="12.625" style="157" customWidth="1"/>
    <col min="15087" max="15324" width="10" style="157"/>
    <col min="15325" max="15325" width="4.125" style="157" customWidth="1"/>
    <col min="15326" max="15326" width="20.5" style="157" customWidth="1"/>
    <col min="15327" max="15327" width="16.5" style="157" customWidth="1"/>
    <col min="15328" max="15328" width="14.625" style="157" customWidth="1"/>
    <col min="15329" max="15329" width="6.125" style="157" customWidth="1"/>
    <col min="15330" max="15331" width="6" style="157" customWidth="1"/>
    <col min="15332" max="15332" width="15.75" style="157" customWidth="1"/>
    <col min="15333" max="15333" width="6.875" style="157" customWidth="1"/>
    <col min="15334" max="15334" width="12.75" style="157" customWidth="1"/>
    <col min="15335" max="15335" width="5.5" style="157" customWidth="1"/>
    <col min="15336" max="15336" width="6.25" style="157" customWidth="1"/>
    <col min="15337" max="15337" width="9" style="157" customWidth="1"/>
    <col min="15338" max="15338" width="8.5" style="157" customWidth="1"/>
    <col min="15339" max="15339" width="6.375" style="157" customWidth="1"/>
    <col min="15340" max="15340" width="9.875" style="157" customWidth="1"/>
    <col min="15341" max="15341" width="12.875" style="157" customWidth="1"/>
    <col min="15342" max="15342" width="12.625" style="157" customWidth="1"/>
    <col min="15343" max="15580" width="10" style="157"/>
    <col min="15581" max="15581" width="4.125" style="157" customWidth="1"/>
    <col min="15582" max="15582" width="20.5" style="157" customWidth="1"/>
    <col min="15583" max="15583" width="16.5" style="157" customWidth="1"/>
    <col min="15584" max="15584" width="14.625" style="157" customWidth="1"/>
    <col min="15585" max="15585" width="6.125" style="157" customWidth="1"/>
    <col min="15586" max="15587" width="6" style="157" customWidth="1"/>
    <col min="15588" max="15588" width="15.75" style="157" customWidth="1"/>
    <col min="15589" max="15589" width="6.875" style="157" customWidth="1"/>
    <col min="15590" max="15590" width="12.75" style="157" customWidth="1"/>
    <col min="15591" max="15591" width="5.5" style="157" customWidth="1"/>
    <col min="15592" max="15592" width="6.25" style="157" customWidth="1"/>
    <col min="15593" max="15593" width="9" style="157" customWidth="1"/>
    <col min="15594" max="15594" width="8.5" style="157" customWidth="1"/>
    <col min="15595" max="15595" width="6.375" style="157" customWidth="1"/>
    <col min="15596" max="15596" width="9.875" style="157" customWidth="1"/>
    <col min="15597" max="15597" width="12.875" style="157" customWidth="1"/>
    <col min="15598" max="15598" width="12.625" style="157" customWidth="1"/>
    <col min="15599" max="15836" width="10" style="157"/>
    <col min="15837" max="15837" width="4.125" style="157" customWidth="1"/>
    <col min="15838" max="15838" width="20.5" style="157" customWidth="1"/>
    <col min="15839" max="15839" width="16.5" style="157" customWidth="1"/>
    <col min="15840" max="15840" width="14.625" style="157" customWidth="1"/>
    <col min="15841" max="15841" width="6.125" style="157" customWidth="1"/>
    <col min="15842" max="15843" width="6" style="157" customWidth="1"/>
    <col min="15844" max="15844" width="15.75" style="157" customWidth="1"/>
    <col min="15845" max="15845" width="6.875" style="157" customWidth="1"/>
    <col min="15846" max="15846" width="12.75" style="157" customWidth="1"/>
    <col min="15847" max="15847" width="5.5" style="157" customWidth="1"/>
    <col min="15848" max="15848" width="6.25" style="157" customWidth="1"/>
    <col min="15849" max="15849" width="9" style="157" customWidth="1"/>
    <col min="15850" max="15850" width="8.5" style="157" customWidth="1"/>
    <col min="15851" max="15851" width="6.375" style="157" customWidth="1"/>
    <col min="15852" max="15852" width="9.875" style="157" customWidth="1"/>
    <col min="15853" max="15853" width="12.875" style="157" customWidth="1"/>
    <col min="15854" max="15854" width="12.625" style="157" customWidth="1"/>
    <col min="15855" max="16092" width="10" style="157"/>
    <col min="16093" max="16093" width="4.125" style="157" customWidth="1"/>
    <col min="16094" max="16094" width="20.5" style="157" customWidth="1"/>
    <col min="16095" max="16095" width="16.5" style="157" customWidth="1"/>
    <col min="16096" max="16096" width="14.625" style="157" customWidth="1"/>
    <col min="16097" max="16097" width="6.125" style="157" customWidth="1"/>
    <col min="16098" max="16099" width="6" style="157" customWidth="1"/>
    <col min="16100" max="16100" width="15.75" style="157" customWidth="1"/>
    <col min="16101" max="16101" width="6.875" style="157" customWidth="1"/>
    <col min="16102" max="16102" width="12.75" style="157" customWidth="1"/>
    <col min="16103" max="16103" width="5.5" style="157" customWidth="1"/>
    <col min="16104" max="16104" width="6.25" style="157" customWidth="1"/>
    <col min="16105" max="16105" width="9" style="157" customWidth="1"/>
    <col min="16106" max="16106" width="8.5" style="157" customWidth="1"/>
    <col min="16107" max="16107" width="6.375" style="157" customWidth="1"/>
    <col min="16108" max="16108" width="9.875" style="157" customWidth="1"/>
    <col min="16109" max="16109" width="12.875" style="157" customWidth="1"/>
    <col min="16110" max="16110" width="12.625" style="157" customWidth="1"/>
    <col min="16111" max="16384" width="10" style="157"/>
  </cols>
  <sheetData>
    <row r="1" ht="31.5" customHeight="1" spans="1:5">
      <c r="A1" s="292" t="s">
        <v>299</v>
      </c>
      <c r="B1" s="292"/>
      <c r="C1" s="292"/>
      <c r="D1" s="292"/>
      <c r="E1" s="292"/>
    </row>
    <row r="2" s="156" customFormat="1" ht="28.5" customHeight="1" spans="1:6">
      <c r="A2" s="170" t="str">
        <f>设定!B4&amp;YEAR(设定!C4)&amp;"年"&amp;MONTH(设定!C4)&amp;"月"&amp;DAY(设定!C4)&amp;"日"</f>
        <v>评估基准日：2022年3月17日</v>
      </c>
      <c r="B2" s="201"/>
      <c r="C2" s="201"/>
      <c r="D2" s="201"/>
      <c r="E2" s="201"/>
      <c r="F2" s="202"/>
    </row>
    <row r="3" s="156" customFormat="1" ht="22.15" customHeight="1" spans="1:6">
      <c r="A3" s="172" t="str">
        <f>设定!$B$3&amp;设定!$C$3</f>
        <v>被评估单位：江阴市金捷利制管有限公司</v>
      </c>
      <c r="B3" s="173"/>
      <c r="C3" s="173"/>
      <c r="D3" s="206" t="s">
        <v>300</v>
      </c>
      <c r="E3" s="206"/>
      <c r="F3" s="202"/>
    </row>
    <row r="4" s="156" customFormat="1" ht="19.9" customHeight="1" spans="1:6">
      <c r="A4" s="210" t="s">
        <v>20</v>
      </c>
      <c r="B4" s="294" t="s">
        <v>301</v>
      </c>
      <c r="C4" s="210" t="s">
        <v>302</v>
      </c>
      <c r="D4" s="210" t="s">
        <v>303</v>
      </c>
      <c r="E4" s="210" t="s">
        <v>8</v>
      </c>
      <c r="F4" s="307"/>
    </row>
    <row r="5" s="156" customFormat="1" spans="1:6">
      <c r="A5" s="210"/>
      <c r="B5" s="210"/>
      <c r="C5" s="210"/>
      <c r="D5" s="210"/>
      <c r="E5" s="210"/>
      <c r="F5" s="307"/>
    </row>
    <row r="6" s="156" customFormat="1" ht="22.15" customHeight="1" spans="1:8">
      <c r="A6" s="182">
        <v>1</v>
      </c>
      <c r="B6" s="277" t="s">
        <v>304</v>
      </c>
      <c r="C6" s="184">
        <f>C7+C8</f>
        <v>6090310</v>
      </c>
      <c r="D6" s="184">
        <f>D7+D8</f>
        <v>1686965</v>
      </c>
      <c r="E6" s="224"/>
      <c r="F6" s="202"/>
      <c r="G6" s="321"/>
      <c r="H6" s="321"/>
    </row>
    <row r="7" s="156" customFormat="1" ht="22.15" customHeight="1" spans="1:6">
      <c r="A7" s="469" t="s">
        <v>305</v>
      </c>
      <c r="B7" s="277" t="s">
        <v>306</v>
      </c>
      <c r="C7" s="184">
        <f>SUMIF(机器设备及辅助设施评估明细表!$G$7:$G$118,"可",机器设备及辅助设施评估明细表!$H$7:$H$118)</f>
        <v>3626740</v>
      </c>
      <c r="D7" s="184">
        <f>SUMIF(机器设备及辅助设施评估明细表!$G$7:$G$118,"可",机器设备及辅助设施评估明细表!$Q$7:$Q$118)</f>
        <v>468663</v>
      </c>
      <c r="E7" s="224"/>
      <c r="F7" s="202"/>
    </row>
    <row r="8" s="156" customFormat="1" ht="22.15" customHeight="1" spans="1:6">
      <c r="A8" s="469" t="s">
        <v>307</v>
      </c>
      <c r="B8" s="277" t="s">
        <v>308</v>
      </c>
      <c r="C8" s="184">
        <f>SUMIF(机器设备及辅助设施评估明细表!$G$7:$G$118,"否",机器设备及辅助设施评估明细表!$H$7:$H$118)</f>
        <v>2463570</v>
      </c>
      <c r="D8" s="184">
        <f>SUMIF(机器设备及辅助设施评估明细表!$G$7:$G$118,"否",机器设备及辅助设施评估明细表!$Q$7:$Q$118)</f>
        <v>1218302</v>
      </c>
      <c r="E8" s="224"/>
      <c r="F8" s="202"/>
    </row>
    <row r="9" s="156" customFormat="1" ht="22.15" customHeight="1" spans="1:6">
      <c r="A9" s="297">
        <v>2</v>
      </c>
      <c r="B9" s="277" t="s">
        <v>309</v>
      </c>
      <c r="C9" s="184">
        <f>C10+C11</f>
        <v>36750</v>
      </c>
      <c r="D9" s="184">
        <f>D10+D11</f>
        <v>36750</v>
      </c>
      <c r="E9" s="224"/>
      <c r="F9" s="202"/>
    </row>
    <row r="10" s="156" customFormat="1" ht="22.15" customHeight="1" spans="1:6">
      <c r="A10" s="469" t="s">
        <v>310</v>
      </c>
      <c r="B10" s="277" t="s">
        <v>311</v>
      </c>
      <c r="C10" s="184">
        <f>物资类评估明细表!P42</f>
        <v>36750</v>
      </c>
      <c r="D10" s="184">
        <f>物资类评估明细表!P42</f>
        <v>36750</v>
      </c>
      <c r="E10" s="224"/>
      <c r="F10" s="202"/>
    </row>
    <row r="11" s="156" customFormat="1" ht="22.15" customHeight="1" spans="1:6">
      <c r="A11" s="297"/>
      <c r="B11" s="277"/>
      <c r="C11" s="184">
        <f>SUMIF(物资类评估明细表!$G$6:$G$22,"否",物资类评估明细表!$H$6:$H$22)</f>
        <v>0</v>
      </c>
      <c r="D11" s="184">
        <f>SUMIF(物资类评估明细表!$G$6:$G$22,"否",物资类评估明细表!$P$6:$P$22)</f>
        <v>0</v>
      </c>
      <c r="E11" s="224"/>
      <c r="F11" s="202"/>
    </row>
    <row r="12" s="156" customFormat="1" ht="22.15" customHeight="1" spans="1:6">
      <c r="A12" s="297"/>
      <c r="B12" s="277"/>
      <c r="C12" s="184"/>
      <c r="D12" s="184"/>
      <c r="E12" s="224"/>
      <c r="F12" s="202"/>
    </row>
    <row r="13" s="156" customFormat="1" ht="22.15" customHeight="1" spans="1:6">
      <c r="A13" s="297"/>
      <c r="B13" s="277"/>
      <c r="C13" s="184"/>
      <c r="D13" s="184"/>
      <c r="E13" s="224"/>
      <c r="F13" s="202"/>
    </row>
    <row r="14" s="156" customFormat="1" ht="22.15" customHeight="1" spans="1:6">
      <c r="A14" s="182"/>
      <c r="B14" s="277"/>
      <c r="C14" s="184"/>
      <c r="D14" s="223"/>
      <c r="E14" s="224"/>
      <c r="F14" s="202"/>
    </row>
    <row r="15" s="156" customFormat="1" ht="22.15" customHeight="1" spans="1:6">
      <c r="A15" s="280" t="s">
        <v>70</v>
      </c>
      <c r="B15" s="281"/>
      <c r="C15" s="184">
        <f>C9+C6</f>
        <v>6127060</v>
      </c>
      <c r="D15" s="184">
        <f>D9+D6</f>
        <v>1723715</v>
      </c>
      <c r="E15" s="286"/>
      <c r="F15" s="202"/>
    </row>
    <row r="16" ht="21.95" customHeight="1" spans="4:5">
      <c r="D16" s="283"/>
      <c r="E16" s="157">
        <f>D15/C15</f>
        <v>0.281328238992274</v>
      </c>
    </row>
    <row r="17" ht="21.95" customHeight="1" spans="2:2">
      <c r="B17" s="283"/>
    </row>
    <row r="18" ht="21.95" customHeight="1" spans="2:2">
      <c r="B18" s="283"/>
    </row>
  </sheetData>
  <autoFilter ref="A5:E18">
    <extLst/>
  </autoFilter>
  <mergeCells count="10">
    <mergeCell ref="A1:E1"/>
    <mergeCell ref="A2:E2"/>
    <mergeCell ref="D3:E3"/>
    <mergeCell ref="A15:B15"/>
    <mergeCell ref="A4:A5"/>
    <mergeCell ref="B4:B5"/>
    <mergeCell ref="C4:C5"/>
    <mergeCell ref="D4:D5"/>
    <mergeCell ref="E4:E5"/>
    <mergeCell ref="F4:F5"/>
  </mergeCells>
  <printOptions horizontalCentered="1"/>
  <pageMargins left="0.393055555555556" right="0.393055555555556" top="0.471527777777778" bottom="1.18055555555556" header="0.511805555555556" footer="2.47916666666667"/>
  <pageSetup paperSize="9" fitToHeight="0" orientation="landscape" blackAndWhite="1" horizontalDpi="600"/>
  <headerFooter alignWithMargins="0">
    <oddFooter>&amp;C&amp;12                      评估机构：江苏中泰广源房地产评估有限公司</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AN45"/>
  <sheetViews>
    <sheetView showZeros="0" workbookViewId="0">
      <pane xSplit="7" ySplit="5" topLeftCell="H12" activePane="bottomRight" state="frozen"/>
      <selection/>
      <selection pane="topRight"/>
      <selection pane="bottomLeft"/>
      <selection pane="bottomRight" activeCell="P34" sqref="P34"/>
    </sheetView>
  </sheetViews>
  <sheetFormatPr defaultColWidth="10" defaultRowHeight="14.25"/>
  <cols>
    <col min="1" max="1" width="5.25" style="157" customWidth="1"/>
    <col min="2" max="2" width="19.25" style="157" customWidth="1"/>
    <col min="3" max="3" width="16.5" style="157" customWidth="1"/>
    <col min="4" max="4" width="13.75" style="157" customWidth="1"/>
    <col min="5" max="7" width="5.375" style="157" customWidth="1"/>
    <col min="8" max="8" width="13.75" style="157" customWidth="1" outlineLevel="1"/>
    <col min="9" max="9" width="5.375" style="157" customWidth="1" outlineLevel="1"/>
    <col min="10" max="10" width="13.375" style="157" customWidth="1" outlineLevel="1"/>
    <col min="11" max="15" width="6.25" style="157" customWidth="1" outlineLevel="1"/>
    <col min="16" max="17" width="13.375" style="157" customWidth="1" outlineLevel="1"/>
    <col min="18" max="18" width="2.75" style="159" customWidth="1"/>
    <col min="19" max="26" width="10.75" style="160" customWidth="1" outlineLevel="1"/>
    <col min="27" max="27" width="10.5" style="161" customWidth="1" outlineLevel="1"/>
    <col min="28" max="28" width="13.125" style="160" customWidth="1" outlineLevel="1"/>
    <col min="29" max="29" width="10.5" style="157" customWidth="1"/>
    <col min="30" max="243" width="10" style="157"/>
    <col min="244" max="244" width="4.125" style="157" customWidth="1"/>
    <col min="245" max="245" width="20.5" style="157" customWidth="1"/>
    <col min="246" max="246" width="16.5" style="157" customWidth="1"/>
    <col min="247" max="247" width="14.625" style="157" customWidth="1"/>
    <col min="248" max="248" width="6.125" style="157" customWidth="1"/>
    <col min="249" max="250" width="6" style="157" customWidth="1"/>
    <col min="251" max="251" width="15.75" style="157" customWidth="1"/>
    <col min="252" max="252" width="6.875" style="157" customWidth="1"/>
    <col min="253" max="253" width="12.75" style="157" customWidth="1"/>
    <col min="254" max="254" width="5.5" style="157" customWidth="1"/>
    <col min="255" max="255" width="6.25" style="157" customWidth="1"/>
    <col min="256" max="256" width="9" style="157" customWidth="1"/>
    <col min="257" max="257" width="8.5" style="157" customWidth="1"/>
    <col min="258" max="258" width="6.375" style="157" customWidth="1"/>
    <col min="259" max="259" width="9.875" style="157" customWidth="1"/>
    <col min="260" max="260" width="12.875" style="157" customWidth="1"/>
    <col min="261" max="261" width="12.625" style="157" customWidth="1"/>
    <col min="262" max="499" width="10" style="157"/>
    <col min="500" max="500" width="4.125" style="157" customWidth="1"/>
    <col min="501" max="501" width="20.5" style="157" customWidth="1"/>
    <col min="502" max="502" width="16.5" style="157" customWidth="1"/>
    <col min="503" max="503" width="14.625" style="157" customWidth="1"/>
    <col min="504" max="504" width="6.125" style="157" customWidth="1"/>
    <col min="505" max="506" width="6" style="157" customWidth="1"/>
    <col min="507" max="507" width="15.75" style="157" customWidth="1"/>
    <col min="508" max="508" width="6.875" style="157" customWidth="1"/>
    <col min="509" max="509" width="12.75" style="157" customWidth="1"/>
    <col min="510" max="510" width="5.5" style="157" customWidth="1"/>
    <col min="511" max="511" width="6.25" style="157" customWidth="1"/>
    <col min="512" max="512" width="9" style="157" customWidth="1"/>
    <col min="513" max="513" width="8.5" style="157" customWidth="1"/>
    <col min="514" max="514" width="6.375" style="157" customWidth="1"/>
    <col min="515" max="515" width="9.875" style="157" customWidth="1"/>
    <col min="516" max="516" width="12.875" style="157" customWidth="1"/>
    <col min="517" max="517" width="12.625" style="157" customWidth="1"/>
    <col min="518" max="755" width="10" style="157"/>
    <col min="756" max="756" width="4.125" style="157" customWidth="1"/>
    <col min="757" max="757" width="20.5" style="157" customWidth="1"/>
    <col min="758" max="758" width="16.5" style="157" customWidth="1"/>
    <col min="759" max="759" width="14.625" style="157" customWidth="1"/>
    <col min="760" max="760" width="6.125" style="157" customWidth="1"/>
    <col min="761" max="762" width="6" style="157" customWidth="1"/>
    <col min="763" max="763" width="15.75" style="157" customWidth="1"/>
    <col min="764" max="764" width="6.875" style="157" customWidth="1"/>
    <col min="765" max="765" width="12.75" style="157" customWidth="1"/>
    <col min="766" max="766" width="5.5" style="157" customWidth="1"/>
    <col min="767" max="767" width="6.25" style="157" customWidth="1"/>
    <col min="768" max="768" width="9" style="157" customWidth="1"/>
    <col min="769" max="769" width="8.5" style="157" customWidth="1"/>
    <col min="770" max="770" width="6.375" style="157" customWidth="1"/>
    <col min="771" max="771" width="9.875" style="157" customWidth="1"/>
    <col min="772" max="772" width="12.875" style="157" customWidth="1"/>
    <col min="773" max="773" width="12.625" style="157" customWidth="1"/>
    <col min="774" max="1011" width="10" style="157"/>
    <col min="1012" max="1012" width="4.125" style="157" customWidth="1"/>
    <col min="1013" max="1013" width="20.5" style="157" customWidth="1"/>
    <col min="1014" max="1014" width="16.5" style="157" customWidth="1"/>
    <col min="1015" max="1015" width="14.625" style="157" customWidth="1"/>
    <col min="1016" max="1016" width="6.125" style="157" customWidth="1"/>
    <col min="1017" max="1018" width="6" style="157" customWidth="1"/>
    <col min="1019" max="1019" width="15.75" style="157" customWidth="1"/>
    <col min="1020" max="1020" width="6.875" style="157" customWidth="1"/>
    <col min="1021" max="1021" width="12.75" style="157" customWidth="1"/>
    <col min="1022" max="1022" width="5.5" style="157" customWidth="1"/>
    <col min="1023" max="1023" width="6.25" style="157" customWidth="1"/>
    <col min="1024" max="1024" width="9" style="157" customWidth="1"/>
    <col min="1025" max="1025" width="8.5" style="157" customWidth="1"/>
    <col min="1026" max="1026" width="6.375" style="157" customWidth="1"/>
    <col min="1027" max="1027" width="9.875" style="157" customWidth="1"/>
    <col min="1028" max="1028" width="12.875" style="157" customWidth="1"/>
    <col min="1029" max="1029" width="12.625" style="157" customWidth="1"/>
    <col min="1030" max="1267" width="10" style="157"/>
    <col min="1268" max="1268" width="4.125" style="157" customWidth="1"/>
    <col min="1269" max="1269" width="20.5" style="157" customWidth="1"/>
    <col min="1270" max="1270" width="16.5" style="157" customWidth="1"/>
    <col min="1271" max="1271" width="14.625" style="157" customWidth="1"/>
    <col min="1272" max="1272" width="6.125" style="157" customWidth="1"/>
    <col min="1273" max="1274" width="6" style="157" customWidth="1"/>
    <col min="1275" max="1275" width="15.75" style="157" customWidth="1"/>
    <col min="1276" max="1276" width="6.875" style="157" customWidth="1"/>
    <col min="1277" max="1277" width="12.75" style="157" customWidth="1"/>
    <col min="1278" max="1278" width="5.5" style="157" customWidth="1"/>
    <col min="1279" max="1279" width="6.25" style="157" customWidth="1"/>
    <col min="1280" max="1280" width="9" style="157" customWidth="1"/>
    <col min="1281" max="1281" width="8.5" style="157" customWidth="1"/>
    <col min="1282" max="1282" width="6.375" style="157" customWidth="1"/>
    <col min="1283" max="1283" width="9.875" style="157" customWidth="1"/>
    <col min="1284" max="1284" width="12.875" style="157" customWidth="1"/>
    <col min="1285" max="1285" width="12.625" style="157" customWidth="1"/>
    <col min="1286" max="1523" width="10" style="157"/>
    <col min="1524" max="1524" width="4.125" style="157" customWidth="1"/>
    <col min="1525" max="1525" width="20.5" style="157" customWidth="1"/>
    <col min="1526" max="1526" width="16.5" style="157" customWidth="1"/>
    <col min="1527" max="1527" width="14.625" style="157" customWidth="1"/>
    <col min="1528" max="1528" width="6.125" style="157" customWidth="1"/>
    <col min="1529" max="1530" width="6" style="157" customWidth="1"/>
    <col min="1531" max="1531" width="15.75" style="157" customWidth="1"/>
    <col min="1532" max="1532" width="6.875" style="157" customWidth="1"/>
    <col min="1533" max="1533" width="12.75" style="157" customWidth="1"/>
    <col min="1534" max="1534" width="5.5" style="157" customWidth="1"/>
    <col min="1535" max="1535" width="6.25" style="157" customWidth="1"/>
    <col min="1536" max="1536" width="9" style="157" customWidth="1"/>
    <col min="1537" max="1537" width="8.5" style="157" customWidth="1"/>
    <col min="1538" max="1538" width="6.375" style="157" customWidth="1"/>
    <col min="1539" max="1539" width="9.875" style="157" customWidth="1"/>
    <col min="1540" max="1540" width="12.875" style="157" customWidth="1"/>
    <col min="1541" max="1541" width="12.625" style="157" customWidth="1"/>
    <col min="1542" max="1779" width="10" style="157"/>
    <col min="1780" max="1780" width="4.125" style="157" customWidth="1"/>
    <col min="1781" max="1781" width="20.5" style="157" customWidth="1"/>
    <col min="1782" max="1782" width="16.5" style="157" customWidth="1"/>
    <col min="1783" max="1783" width="14.625" style="157" customWidth="1"/>
    <col min="1784" max="1784" width="6.125" style="157" customWidth="1"/>
    <col min="1785" max="1786" width="6" style="157" customWidth="1"/>
    <col min="1787" max="1787" width="15.75" style="157" customWidth="1"/>
    <col min="1788" max="1788" width="6.875" style="157" customWidth="1"/>
    <col min="1789" max="1789" width="12.75" style="157" customWidth="1"/>
    <col min="1790" max="1790" width="5.5" style="157" customWidth="1"/>
    <col min="1791" max="1791" width="6.25" style="157" customWidth="1"/>
    <col min="1792" max="1792" width="9" style="157" customWidth="1"/>
    <col min="1793" max="1793" width="8.5" style="157" customWidth="1"/>
    <col min="1794" max="1794" width="6.375" style="157" customWidth="1"/>
    <col min="1795" max="1795" width="9.875" style="157" customWidth="1"/>
    <col min="1796" max="1796" width="12.875" style="157" customWidth="1"/>
    <col min="1797" max="1797" width="12.625" style="157" customWidth="1"/>
    <col min="1798" max="2035" width="10" style="157"/>
    <col min="2036" max="2036" width="4.125" style="157" customWidth="1"/>
    <col min="2037" max="2037" width="20.5" style="157" customWidth="1"/>
    <col min="2038" max="2038" width="16.5" style="157" customWidth="1"/>
    <col min="2039" max="2039" width="14.625" style="157" customWidth="1"/>
    <col min="2040" max="2040" width="6.125" style="157" customWidth="1"/>
    <col min="2041" max="2042" width="6" style="157" customWidth="1"/>
    <col min="2043" max="2043" width="15.75" style="157" customWidth="1"/>
    <col min="2044" max="2044" width="6.875" style="157" customWidth="1"/>
    <col min="2045" max="2045" width="12.75" style="157" customWidth="1"/>
    <col min="2046" max="2046" width="5.5" style="157" customWidth="1"/>
    <col min="2047" max="2047" width="6.25" style="157" customWidth="1"/>
    <col min="2048" max="2048" width="9" style="157" customWidth="1"/>
    <col min="2049" max="2049" width="8.5" style="157" customWidth="1"/>
    <col min="2050" max="2050" width="6.375" style="157" customWidth="1"/>
    <col min="2051" max="2051" width="9.875" style="157" customWidth="1"/>
    <col min="2052" max="2052" width="12.875" style="157" customWidth="1"/>
    <col min="2053" max="2053" width="12.625" style="157" customWidth="1"/>
    <col min="2054" max="2291" width="10" style="157"/>
    <col min="2292" max="2292" width="4.125" style="157" customWidth="1"/>
    <col min="2293" max="2293" width="20.5" style="157" customWidth="1"/>
    <col min="2294" max="2294" width="16.5" style="157" customWidth="1"/>
    <col min="2295" max="2295" width="14.625" style="157" customWidth="1"/>
    <col min="2296" max="2296" width="6.125" style="157" customWidth="1"/>
    <col min="2297" max="2298" width="6" style="157" customWidth="1"/>
    <col min="2299" max="2299" width="15.75" style="157" customWidth="1"/>
    <col min="2300" max="2300" width="6.875" style="157" customWidth="1"/>
    <col min="2301" max="2301" width="12.75" style="157" customWidth="1"/>
    <col min="2302" max="2302" width="5.5" style="157" customWidth="1"/>
    <col min="2303" max="2303" width="6.25" style="157" customWidth="1"/>
    <col min="2304" max="2304" width="9" style="157" customWidth="1"/>
    <col min="2305" max="2305" width="8.5" style="157" customWidth="1"/>
    <col min="2306" max="2306" width="6.375" style="157" customWidth="1"/>
    <col min="2307" max="2307" width="9.875" style="157" customWidth="1"/>
    <col min="2308" max="2308" width="12.875" style="157" customWidth="1"/>
    <col min="2309" max="2309" width="12.625" style="157" customWidth="1"/>
    <col min="2310" max="2547" width="10" style="157"/>
    <col min="2548" max="2548" width="4.125" style="157" customWidth="1"/>
    <col min="2549" max="2549" width="20.5" style="157" customWidth="1"/>
    <col min="2550" max="2550" width="16.5" style="157" customWidth="1"/>
    <col min="2551" max="2551" width="14.625" style="157" customWidth="1"/>
    <col min="2552" max="2552" width="6.125" style="157" customWidth="1"/>
    <col min="2553" max="2554" width="6" style="157" customWidth="1"/>
    <col min="2555" max="2555" width="15.75" style="157" customWidth="1"/>
    <col min="2556" max="2556" width="6.875" style="157" customWidth="1"/>
    <col min="2557" max="2557" width="12.75" style="157" customWidth="1"/>
    <col min="2558" max="2558" width="5.5" style="157" customWidth="1"/>
    <col min="2559" max="2559" width="6.25" style="157" customWidth="1"/>
    <col min="2560" max="2560" width="9" style="157" customWidth="1"/>
    <col min="2561" max="2561" width="8.5" style="157" customWidth="1"/>
    <col min="2562" max="2562" width="6.375" style="157" customWidth="1"/>
    <col min="2563" max="2563" width="9.875" style="157" customWidth="1"/>
    <col min="2564" max="2564" width="12.875" style="157" customWidth="1"/>
    <col min="2565" max="2565" width="12.625" style="157" customWidth="1"/>
    <col min="2566" max="2803" width="10" style="157"/>
    <col min="2804" max="2804" width="4.125" style="157" customWidth="1"/>
    <col min="2805" max="2805" width="20.5" style="157" customWidth="1"/>
    <col min="2806" max="2806" width="16.5" style="157" customWidth="1"/>
    <col min="2807" max="2807" width="14.625" style="157" customWidth="1"/>
    <col min="2808" max="2808" width="6.125" style="157" customWidth="1"/>
    <col min="2809" max="2810" width="6" style="157" customWidth="1"/>
    <col min="2811" max="2811" width="15.75" style="157" customWidth="1"/>
    <col min="2812" max="2812" width="6.875" style="157" customWidth="1"/>
    <col min="2813" max="2813" width="12.75" style="157" customWidth="1"/>
    <col min="2814" max="2814" width="5.5" style="157" customWidth="1"/>
    <col min="2815" max="2815" width="6.25" style="157" customWidth="1"/>
    <col min="2816" max="2816" width="9" style="157" customWidth="1"/>
    <col min="2817" max="2817" width="8.5" style="157" customWidth="1"/>
    <col min="2818" max="2818" width="6.375" style="157" customWidth="1"/>
    <col min="2819" max="2819" width="9.875" style="157" customWidth="1"/>
    <col min="2820" max="2820" width="12.875" style="157" customWidth="1"/>
    <col min="2821" max="2821" width="12.625" style="157" customWidth="1"/>
    <col min="2822" max="3059" width="10" style="157"/>
    <col min="3060" max="3060" width="4.125" style="157" customWidth="1"/>
    <col min="3061" max="3061" width="20.5" style="157" customWidth="1"/>
    <col min="3062" max="3062" width="16.5" style="157" customWidth="1"/>
    <col min="3063" max="3063" width="14.625" style="157" customWidth="1"/>
    <col min="3064" max="3064" width="6.125" style="157" customWidth="1"/>
    <col min="3065" max="3066" width="6" style="157" customWidth="1"/>
    <col min="3067" max="3067" width="15.75" style="157" customWidth="1"/>
    <col min="3068" max="3068" width="6.875" style="157" customWidth="1"/>
    <col min="3069" max="3069" width="12.75" style="157" customWidth="1"/>
    <col min="3070" max="3070" width="5.5" style="157" customWidth="1"/>
    <col min="3071" max="3071" width="6.25" style="157" customWidth="1"/>
    <col min="3072" max="3072" width="9" style="157" customWidth="1"/>
    <col min="3073" max="3073" width="8.5" style="157" customWidth="1"/>
    <col min="3074" max="3074" width="6.375" style="157" customWidth="1"/>
    <col min="3075" max="3075" width="9.875" style="157" customWidth="1"/>
    <col min="3076" max="3076" width="12.875" style="157" customWidth="1"/>
    <col min="3077" max="3077" width="12.625" style="157" customWidth="1"/>
    <col min="3078" max="3315" width="10" style="157"/>
    <col min="3316" max="3316" width="4.125" style="157" customWidth="1"/>
    <col min="3317" max="3317" width="20.5" style="157" customWidth="1"/>
    <col min="3318" max="3318" width="16.5" style="157" customWidth="1"/>
    <col min="3319" max="3319" width="14.625" style="157" customWidth="1"/>
    <col min="3320" max="3320" width="6.125" style="157" customWidth="1"/>
    <col min="3321" max="3322" width="6" style="157" customWidth="1"/>
    <col min="3323" max="3323" width="15.75" style="157" customWidth="1"/>
    <col min="3324" max="3324" width="6.875" style="157" customWidth="1"/>
    <col min="3325" max="3325" width="12.75" style="157" customWidth="1"/>
    <col min="3326" max="3326" width="5.5" style="157" customWidth="1"/>
    <col min="3327" max="3327" width="6.25" style="157" customWidth="1"/>
    <col min="3328" max="3328" width="9" style="157" customWidth="1"/>
    <col min="3329" max="3329" width="8.5" style="157" customWidth="1"/>
    <col min="3330" max="3330" width="6.375" style="157" customWidth="1"/>
    <col min="3331" max="3331" width="9.875" style="157" customWidth="1"/>
    <col min="3332" max="3332" width="12.875" style="157" customWidth="1"/>
    <col min="3333" max="3333" width="12.625" style="157" customWidth="1"/>
    <col min="3334" max="3571" width="10" style="157"/>
    <col min="3572" max="3572" width="4.125" style="157" customWidth="1"/>
    <col min="3573" max="3573" width="20.5" style="157" customWidth="1"/>
    <col min="3574" max="3574" width="16.5" style="157" customWidth="1"/>
    <col min="3575" max="3575" width="14.625" style="157" customWidth="1"/>
    <col min="3576" max="3576" width="6.125" style="157" customWidth="1"/>
    <col min="3577" max="3578" width="6" style="157" customWidth="1"/>
    <col min="3579" max="3579" width="15.75" style="157" customWidth="1"/>
    <col min="3580" max="3580" width="6.875" style="157" customWidth="1"/>
    <col min="3581" max="3581" width="12.75" style="157" customWidth="1"/>
    <col min="3582" max="3582" width="5.5" style="157" customWidth="1"/>
    <col min="3583" max="3583" width="6.25" style="157" customWidth="1"/>
    <col min="3584" max="3584" width="9" style="157" customWidth="1"/>
    <col min="3585" max="3585" width="8.5" style="157" customWidth="1"/>
    <col min="3586" max="3586" width="6.375" style="157" customWidth="1"/>
    <col min="3587" max="3587" width="9.875" style="157" customWidth="1"/>
    <col min="3588" max="3588" width="12.875" style="157" customWidth="1"/>
    <col min="3589" max="3589" width="12.625" style="157" customWidth="1"/>
    <col min="3590" max="3827" width="10" style="157"/>
    <col min="3828" max="3828" width="4.125" style="157" customWidth="1"/>
    <col min="3829" max="3829" width="20.5" style="157" customWidth="1"/>
    <col min="3830" max="3830" width="16.5" style="157" customWidth="1"/>
    <col min="3831" max="3831" width="14.625" style="157" customWidth="1"/>
    <col min="3832" max="3832" width="6.125" style="157" customWidth="1"/>
    <col min="3833" max="3834" width="6" style="157" customWidth="1"/>
    <col min="3835" max="3835" width="15.75" style="157" customWidth="1"/>
    <col min="3836" max="3836" width="6.875" style="157" customWidth="1"/>
    <col min="3837" max="3837" width="12.75" style="157" customWidth="1"/>
    <col min="3838" max="3838" width="5.5" style="157" customWidth="1"/>
    <col min="3839" max="3839" width="6.25" style="157" customWidth="1"/>
    <col min="3840" max="3840" width="9" style="157" customWidth="1"/>
    <col min="3841" max="3841" width="8.5" style="157" customWidth="1"/>
    <col min="3842" max="3842" width="6.375" style="157" customWidth="1"/>
    <col min="3843" max="3843" width="9.875" style="157" customWidth="1"/>
    <col min="3844" max="3844" width="12.875" style="157" customWidth="1"/>
    <col min="3845" max="3845" width="12.625" style="157" customWidth="1"/>
    <col min="3846" max="4083" width="10" style="157"/>
    <col min="4084" max="4084" width="4.125" style="157" customWidth="1"/>
    <col min="4085" max="4085" width="20.5" style="157" customWidth="1"/>
    <col min="4086" max="4086" width="16.5" style="157" customWidth="1"/>
    <col min="4087" max="4087" width="14.625" style="157" customWidth="1"/>
    <col min="4088" max="4088" width="6.125" style="157" customWidth="1"/>
    <col min="4089" max="4090" width="6" style="157" customWidth="1"/>
    <col min="4091" max="4091" width="15.75" style="157" customWidth="1"/>
    <col min="4092" max="4092" width="6.875" style="157" customWidth="1"/>
    <col min="4093" max="4093" width="12.75" style="157" customWidth="1"/>
    <col min="4094" max="4094" width="5.5" style="157" customWidth="1"/>
    <col min="4095" max="4095" width="6.25" style="157" customWidth="1"/>
    <col min="4096" max="4096" width="9" style="157" customWidth="1"/>
    <col min="4097" max="4097" width="8.5" style="157" customWidth="1"/>
    <col min="4098" max="4098" width="6.375" style="157" customWidth="1"/>
    <col min="4099" max="4099" width="9.875" style="157" customWidth="1"/>
    <col min="4100" max="4100" width="12.875" style="157" customWidth="1"/>
    <col min="4101" max="4101" width="12.625" style="157" customWidth="1"/>
    <col min="4102" max="4339" width="10" style="157"/>
    <col min="4340" max="4340" width="4.125" style="157" customWidth="1"/>
    <col min="4341" max="4341" width="20.5" style="157" customWidth="1"/>
    <col min="4342" max="4342" width="16.5" style="157" customWidth="1"/>
    <col min="4343" max="4343" width="14.625" style="157" customWidth="1"/>
    <col min="4344" max="4344" width="6.125" style="157" customWidth="1"/>
    <col min="4345" max="4346" width="6" style="157" customWidth="1"/>
    <col min="4347" max="4347" width="15.75" style="157" customWidth="1"/>
    <col min="4348" max="4348" width="6.875" style="157" customWidth="1"/>
    <col min="4349" max="4349" width="12.75" style="157" customWidth="1"/>
    <col min="4350" max="4350" width="5.5" style="157" customWidth="1"/>
    <col min="4351" max="4351" width="6.25" style="157" customWidth="1"/>
    <col min="4352" max="4352" width="9" style="157" customWidth="1"/>
    <col min="4353" max="4353" width="8.5" style="157" customWidth="1"/>
    <col min="4354" max="4354" width="6.375" style="157" customWidth="1"/>
    <col min="4355" max="4355" width="9.875" style="157" customWidth="1"/>
    <col min="4356" max="4356" width="12.875" style="157" customWidth="1"/>
    <col min="4357" max="4357" width="12.625" style="157" customWidth="1"/>
    <col min="4358" max="4595" width="10" style="157"/>
    <col min="4596" max="4596" width="4.125" style="157" customWidth="1"/>
    <col min="4597" max="4597" width="20.5" style="157" customWidth="1"/>
    <col min="4598" max="4598" width="16.5" style="157" customWidth="1"/>
    <col min="4599" max="4599" width="14.625" style="157" customWidth="1"/>
    <col min="4600" max="4600" width="6.125" style="157" customWidth="1"/>
    <col min="4601" max="4602" width="6" style="157" customWidth="1"/>
    <col min="4603" max="4603" width="15.75" style="157" customWidth="1"/>
    <col min="4604" max="4604" width="6.875" style="157" customWidth="1"/>
    <col min="4605" max="4605" width="12.75" style="157" customWidth="1"/>
    <col min="4606" max="4606" width="5.5" style="157" customWidth="1"/>
    <col min="4607" max="4607" width="6.25" style="157" customWidth="1"/>
    <col min="4608" max="4608" width="9" style="157" customWidth="1"/>
    <col min="4609" max="4609" width="8.5" style="157" customWidth="1"/>
    <col min="4610" max="4610" width="6.375" style="157" customWidth="1"/>
    <col min="4611" max="4611" width="9.875" style="157" customWidth="1"/>
    <col min="4612" max="4612" width="12.875" style="157" customWidth="1"/>
    <col min="4613" max="4613" width="12.625" style="157" customWidth="1"/>
    <col min="4614" max="4851" width="10" style="157"/>
    <col min="4852" max="4852" width="4.125" style="157" customWidth="1"/>
    <col min="4853" max="4853" width="20.5" style="157" customWidth="1"/>
    <col min="4854" max="4854" width="16.5" style="157" customWidth="1"/>
    <col min="4855" max="4855" width="14.625" style="157" customWidth="1"/>
    <col min="4856" max="4856" width="6.125" style="157" customWidth="1"/>
    <col min="4857" max="4858" width="6" style="157" customWidth="1"/>
    <col min="4859" max="4859" width="15.75" style="157" customWidth="1"/>
    <col min="4860" max="4860" width="6.875" style="157" customWidth="1"/>
    <col min="4861" max="4861" width="12.75" style="157" customWidth="1"/>
    <col min="4862" max="4862" width="5.5" style="157" customWidth="1"/>
    <col min="4863" max="4863" width="6.25" style="157" customWidth="1"/>
    <col min="4864" max="4864" width="9" style="157" customWidth="1"/>
    <col min="4865" max="4865" width="8.5" style="157" customWidth="1"/>
    <col min="4866" max="4866" width="6.375" style="157" customWidth="1"/>
    <col min="4867" max="4867" width="9.875" style="157" customWidth="1"/>
    <col min="4868" max="4868" width="12.875" style="157" customWidth="1"/>
    <col min="4869" max="4869" width="12.625" style="157" customWidth="1"/>
    <col min="4870" max="5107" width="10" style="157"/>
    <col min="5108" max="5108" width="4.125" style="157" customWidth="1"/>
    <col min="5109" max="5109" width="20.5" style="157" customWidth="1"/>
    <col min="5110" max="5110" width="16.5" style="157" customWidth="1"/>
    <col min="5111" max="5111" width="14.625" style="157" customWidth="1"/>
    <col min="5112" max="5112" width="6.125" style="157" customWidth="1"/>
    <col min="5113" max="5114" width="6" style="157" customWidth="1"/>
    <col min="5115" max="5115" width="15.75" style="157" customWidth="1"/>
    <col min="5116" max="5116" width="6.875" style="157" customWidth="1"/>
    <col min="5117" max="5117" width="12.75" style="157" customWidth="1"/>
    <col min="5118" max="5118" width="5.5" style="157" customWidth="1"/>
    <col min="5119" max="5119" width="6.25" style="157" customWidth="1"/>
    <col min="5120" max="5120" width="9" style="157" customWidth="1"/>
    <col min="5121" max="5121" width="8.5" style="157" customWidth="1"/>
    <col min="5122" max="5122" width="6.375" style="157" customWidth="1"/>
    <col min="5123" max="5123" width="9.875" style="157" customWidth="1"/>
    <col min="5124" max="5124" width="12.875" style="157" customWidth="1"/>
    <col min="5125" max="5125" width="12.625" style="157" customWidth="1"/>
    <col min="5126" max="5363" width="10" style="157"/>
    <col min="5364" max="5364" width="4.125" style="157" customWidth="1"/>
    <col min="5365" max="5365" width="20.5" style="157" customWidth="1"/>
    <col min="5366" max="5366" width="16.5" style="157" customWidth="1"/>
    <col min="5367" max="5367" width="14.625" style="157" customWidth="1"/>
    <col min="5368" max="5368" width="6.125" style="157" customWidth="1"/>
    <col min="5369" max="5370" width="6" style="157" customWidth="1"/>
    <col min="5371" max="5371" width="15.75" style="157" customWidth="1"/>
    <col min="5372" max="5372" width="6.875" style="157" customWidth="1"/>
    <col min="5373" max="5373" width="12.75" style="157" customWidth="1"/>
    <col min="5374" max="5374" width="5.5" style="157" customWidth="1"/>
    <col min="5375" max="5375" width="6.25" style="157" customWidth="1"/>
    <col min="5376" max="5376" width="9" style="157" customWidth="1"/>
    <col min="5377" max="5377" width="8.5" style="157" customWidth="1"/>
    <col min="5378" max="5378" width="6.375" style="157" customWidth="1"/>
    <col min="5379" max="5379" width="9.875" style="157" customWidth="1"/>
    <col min="5380" max="5380" width="12.875" style="157" customWidth="1"/>
    <col min="5381" max="5381" width="12.625" style="157" customWidth="1"/>
    <col min="5382" max="5619" width="10" style="157"/>
    <col min="5620" max="5620" width="4.125" style="157" customWidth="1"/>
    <col min="5621" max="5621" width="20.5" style="157" customWidth="1"/>
    <col min="5622" max="5622" width="16.5" style="157" customWidth="1"/>
    <col min="5623" max="5623" width="14.625" style="157" customWidth="1"/>
    <col min="5624" max="5624" width="6.125" style="157" customWidth="1"/>
    <col min="5625" max="5626" width="6" style="157" customWidth="1"/>
    <col min="5627" max="5627" width="15.75" style="157" customWidth="1"/>
    <col min="5628" max="5628" width="6.875" style="157" customWidth="1"/>
    <col min="5629" max="5629" width="12.75" style="157" customWidth="1"/>
    <col min="5630" max="5630" width="5.5" style="157" customWidth="1"/>
    <col min="5631" max="5631" width="6.25" style="157" customWidth="1"/>
    <col min="5632" max="5632" width="9" style="157" customWidth="1"/>
    <col min="5633" max="5633" width="8.5" style="157" customWidth="1"/>
    <col min="5634" max="5634" width="6.375" style="157" customWidth="1"/>
    <col min="5635" max="5635" width="9.875" style="157" customWidth="1"/>
    <col min="5636" max="5636" width="12.875" style="157" customWidth="1"/>
    <col min="5637" max="5637" width="12.625" style="157" customWidth="1"/>
    <col min="5638" max="5875" width="10" style="157"/>
    <col min="5876" max="5876" width="4.125" style="157" customWidth="1"/>
    <col min="5877" max="5877" width="20.5" style="157" customWidth="1"/>
    <col min="5878" max="5878" width="16.5" style="157" customWidth="1"/>
    <col min="5879" max="5879" width="14.625" style="157" customWidth="1"/>
    <col min="5880" max="5880" width="6.125" style="157" customWidth="1"/>
    <col min="5881" max="5882" width="6" style="157" customWidth="1"/>
    <col min="5883" max="5883" width="15.75" style="157" customWidth="1"/>
    <col min="5884" max="5884" width="6.875" style="157" customWidth="1"/>
    <col min="5885" max="5885" width="12.75" style="157" customWidth="1"/>
    <col min="5886" max="5886" width="5.5" style="157" customWidth="1"/>
    <col min="5887" max="5887" width="6.25" style="157" customWidth="1"/>
    <col min="5888" max="5888" width="9" style="157" customWidth="1"/>
    <col min="5889" max="5889" width="8.5" style="157" customWidth="1"/>
    <col min="5890" max="5890" width="6.375" style="157" customWidth="1"/>
    <col min="5891" max="5891" width="9.875" style="157" customWidth="1"/>
    <col min="5892" max="5892" width="12.875" style="157" customWidth="1"/>
    <col min="5893" max="5893" width="12.625" style="157" customWidth="1"/>
    <col min="5894" max="6131" width="10" style="157"/>
    <col min="6132" max="6132" width="4.125" style="157" customWidth="1"/>
    <col min="6133" max="6133" width="20.5" style="157" customWidth="1"/>
    <col min="6134" max="6134" width="16.5" style="157" customWidth="1"/>
    <col min="6135" max="6135" width="14.625" style="157" customWidth="1"/>
    <col min="6136" max="6136" width="6.125" style="157" customWidth="1"/>
    <col min="6137" max="6138" width="6" style="157" customWidth="1"/>
    <col min="6139" max="6139" width="15.75" style="157" customWidth="1"/>
    <col min="6140" max="6140" width="6.875" style="157" customWidth="1"/>
    <col min="6141" max="6141" width="12.75" style="157" customWidth="1"/>
    <col min="6142" max="6142" width="5.5" style="157" customWidth="1"/>
    <col min="6143" max="6143" width="6.25" style="157" customWidth="1"/>
    <col min="6144" max="6144" width="9" style="157" customWidth="1"/>
    <col min="6145" max="6145" width="8.5" style="157" customWidth="1"/>
    <col min="6146" max="6146" width="6.375" style="157" customWidth="1"/>
    <col min="6147" max="6147" width="9.875" style="157" customWidth="1"/>
    <col min="6148" max="6148" width="12.875" style="157" customWidth="1"/>
    <col min="6149" max="6149" width="12.625" style="157" customWidth="1"/>
    <col min="6150" max="6387" width="10" style="157"/>
    <col min="6388" max="6388" width="4.125" style="157" customWidth="1"/>
    <col min="6389" max="6389" width="20.5" style="157" customWidth="1"/>
    <col min="6390" max="6390" width="16.5" style="157" customWidth="1"/>
    <col min="6391" max="6391" width="14.625" style="157" customWidth="1"/>
    <col min="6392" max="6392" width="6.125" style="157" customWidth="1"/>
    <col min="6393" max="6394" width="6" style="157" customWidth="1"/>
    <col min="6395" max="6395" width="15.75" style="157" customWidth="1"/>
    <col min="6396" max="6396" width="6.875" style="157" customWidth="1"/>
    <col min="6397" max="6397" width="12.75" style="157" customWidth="1"/>
    <col min="6398" max="6398" width="5.5" style="157" customWidth="1"/>
    <col min="6399" max="6399" width="6.25" style="157" customWidth="1"/>
    <col min="6400" max="6400" width="9" style="157" customWidth="1"/>
    <col min="6401" max="6401" width="8.5" style="157" customWidth="1"/>
    <col min="6402" max="6402" width="6.375" style="157" customWidth="1"/>
    <col min="6403" max="6403" width="9.875" style="157" customWidth="1"/>
    <col min="6404" max="6404" width="12.875" style="157" customWidth="1"/>
    <col min="6405" max="6405" width="12.625" style="157" customWidth="1"/>
    <col min="6406" max="6643" width="10" style="157"/>
    <col min="6644" max="6644" width="4.125" style="157" customWidth="1"/>
    <col min="6645" max="6645" width="20.5" style="157" customWidth="1"/>
    <col min="6646" max="6646" width="16.5" style="157" customWidth="1"/>
    <col min="6647" max="6647" width="14.625" style="157" customWidth="1"/>
    <col min="6648" max="6648" width="6.125" style="157" customWidth="1"/>
    <col min="6649" max="6650" width="6" style="157" customWidth="1"/>
    <col min="6651" max="6651" width="15.75" style="157" customWidth="1"/>
    <col min="6652" max="6652" width="6.875" style="157" customWidth="1"/>
    <col min="6653" max="6653" width="12.75" style="157" customWidth="1"/>
    <col min="6654" max="6654" width="5.5" style="157" customWidth="1"/>
    <col min="6655" max="6655" width="6.25" style="157" customWidth="1"/>
    <col min="6656" max="6656" width="9" style="157" customWidth="1"/>
    <col min="6657" max="6657" width="8.5" style="157" customWidth="1"/>
    <col min="6658" max="6658" width="6.375" style="157" customWidth="1"/>
    <col min="6659" max="6659" width="9.875" style="157" customWidth="1"/>
    <col min="6660" max="6660" width="12.875" style="157" customWidth="1"/>
    <col min="6661" max="6661" width="12.625" style="157" customWidth="1"/>
    <col min="6662" max="6899" width="10" style="157"/>
    <col min="6900" max="6900" width="4.125" style="157" customWidth="1"/>
    <col min="6901" max="6901" width="20.5" style="157" customWidth="1"/>
    <col min="6902" max="6902" width="16.5" style="157" customWidth="1"/>
    <col min="6903" max="6903" width="14.625" style="157" customWidth="1"/>
    <col min="6904" max="6904" width="6.125" style="157" customWidth="1"/>
    <col min="6905" max="6906" width="6" style="157" customWidth="1"/>
    <col min="6907" max="6907" width="15.75" style="157" customWidth="1"/>
    <col min="6908" max="6908" width="6.875" style="157" customWidth="1"/>
    <col min="6909" max="6909" width="12.75" style="157" customWidth="1"/>
    <col min="6910" max="6910" width="5.5" style="157" customWidth="1"/>
    <col min="6911" max="6911" width="6.25" style="157" customWidth="1"/>
    <col min="6912" max="6912" width="9" style="157" customWidth="1"/>
    <col min="6913" max="6913" width="8.5" style="157" customWidth="1"/>
    <col min="6914" max="6914" width="6.375" style="157" customWidth="1"/>
    <col min="6915" max="6915" width="9.875" style="157" customWidth="1"/>
    <col min="6916" max="6916" width="12.875" style="157" customWidth="1"/>
    <col min="6917" max="6917" width="12.625" style="157" customWidth="1"/>
    <col min="6918" max="7155" width="10" style="157"/>
    <col min="7156" max="7156" width="4.125" style="157" customWidth="1"/>
    <col min="7157" max="7157" width="20.5" style="157" customWidth="1"/>
    <col min="7158" max="7158" width="16.5" style="157" customWidth="1"/>
    <col min="7159" max="7159" width="14.625" style="157" customWidth="1"/>
    <col min="7160" max="7160" width="6.125" style="157" customWidth="1"/>
    <col min="7161" max="7162" width="6" style="157" customWidth="1"/>
    <col min="7163" max="7163" width="15.75" style="157" customWidth="1"/>
    <col min="7164" max="7164" width="6.875" style="157" customWidth="1"/>
    <col min="7165" max="7165" width="12.75" style="157" customWidth="1"/>
    <col min="7166" max="7166" width="5.5" style="157" customWidth="1"/>
    <col min="7167" max="7167" width="6.25" style="157" customWidth="1"/>
    <col min="7168" max="7168" width="9" style="157" customWidth="1"/>
    <col min="7169" max="7169" width="8.5" style="157" customWidth="1"/>
    <col min="7170" max="7170" width="6.375" style="157" customWidth="1"/>
    <col min="7171" max="7171" width="9.875" style="157" customWidth="1"/>
    <col min="7172" max="7172" width="12.875" style="157" customWidth="1"/>
    <col min="7173" max="7173" width="12.625" style="157" customWidth="1"/>
    <col min="7174" max="7411" width="10" style="157"/>
    <col min="7412" max="7412" width="4.125" style="157" customWidth="1"/>
    <col min="7413" max="7413" width="20.5" style="157" customWidth="1"/>
    <col min="7414" max="7414" width="16.5" style="157" customWidth="1"/>
    <col min="7415" max="7415" width="14.625" style="157" customWidth="1"/>
    <col min="7416" max="7416" width="6.125" style="157" customWidth="1"/>
    <col min="7417" max="7418" width="6" style="157" customWidth="1"/>
    <col min="7419" max="7419" width="15.75" style="157" customWidth="1"/>
    <col min="7420" max="7420" width="6.875" style="157" customWidth="1"/>
    <col min="7421" max="7421" width="12.75" style="157" customWidth="1"/>
    <col min="7422" max="7422" width="5.5" style="157" customWidth="1"/>
    <col min="7423" max="7423" width="6.25" style="157" customWidth="1"/>
    <col min="7424" max="7424" width="9" style="157" customWidth="1"/>
    <col min="7425" max="7425" width="8.5" style="157" customWidth="1"/>
    <col min="7426" max="7426" width="6.375" style="157" customWidth="1"/>
    <col min="7427" max="7427" width="9.875" style="157" customWidth="1"/>
    <col min="7428" max="7428" width="12.875" style="157" customWidth="1"/>
    <col min="7429" max="7429" width="12.625" style="157" customWidth="1"/>
    <col min="7430" max="7667" width="10" style="157"/>
    <col min="7668" max="7668" width="4.125" style="157" customWidth="1"/>
    <col min="7669" max="7669" width="20.5" style="157" customWidth="1"/>
    <col min="7670" max="7670" width="16.5" style="157" customWidth="1"/>
    <col min="7671" max="7671" width="14.625" style="157" customWidth="1"/>
    <col min="7672" max="7672" width="6.125" style="157" customWidth="1"/>
    <col min="7673" max="7674" width="6" style="157" customWidth="1"/>
    <col min="7675" max="7675" width="15.75" style="157" customWidth="1"/>
    <col min="7676" max="7676" width="6.875" style="157" customWidth="1"/>
    <col min="7677" max="7677" width="12.75" style="157" customWidth="1"/>
    <col min="7678" max="7678" width="5.5" style="157" customWidth="1"/>
    <col min="7679" max="7679" width="6.25" style="157" customWidth="1"/>
    <col min="7680" max="7680" width="9" style="157" customWidth="1"/>
    <col min="7681" max="7681" width="8.5" style="157" customWidth="1"/>
    <col min="7682" max="7682" width="6.375" style="157" customWidth="1"/>
    <col min="7683" max="7683" width="9.875" style="157" customWidth="1"/>
    <col min="7684" max="7684" width="12.875" style="157" customWidth="1"/>
    <col min="7685" max="7685" width="12.625" style="157" customWidth="1"/>
    <col min="7686" max="7923" width="10" style="157"/>
    <col min="7924" max="7924" width="4.125" style="157" customWidth="1"/>
    <col min="7925" max="7925" width="20.5" style="157" customWidth="1"/>
    <col min="7926" max="7926" width="16.5" style="157" customWidth="1"/>
    <col min="7927" max="7927" width="14.625" style="157" customWidth="1"/>
    <col min="7928" max="7928" width="6.125" style="157" customWidth="1"/>
    <col min="7929" max="7930" width="6" style="157" customWidth="1"/>
    <col min="7931" max="7931" width="15.75" style="157" customWidth="1"/>
    <col min="7932" max="7932" width="6.875" style="157" customWidth="1"/>
    <col min="7933" max="7933" width="12.75" style="157" customWidth="1"/>
    <col min="7934" max="7934" width="5.5" style="157" customWidth="1"/>
    <col min="7935" max="7935" width="6.25" style="157" customWidth="1"/>
    <col min="7936" max="7936" width="9" style="157" customWidth="1"/>
    <col min="7937" max="7937" width="8.5" style="157" customWidth="1"/>
    <col min="7938" max="7938" width="6.375" style="157" customWidth="1"/>
    <col min="7939" max="7939" width="9.875" style="157" customWidth="1"/>
    <col min="7940" max="7940" width="12.875" style="157" customWidth="1"/>
    <col min="7941" max="7941" width="12.625" style="157" customWidth="1"/>
    <col min="7942" max="8179" width="10" style="157"/>
    <col min="8180" max="8180" width="4.125" style="157" customWidth="1"/>
    <col min="8181" max="8181" width="20.5" style="157" customWidth="1"/>
    <col min="8182" max="8182" width="16.5" style="157" customWidth="1"/>
    <col min="8183" max="8183" width="14.625" style="157" customWidth="1"/>
    <col min="8184" max="8184" width="6.125" style="157" customWidth="1"/>
    <col min="8185" max="8186" width="6" style="157" customWidth="1"/>
    <col min="8187" max="8187" width="15.75" style="157" customWidth="1"/>
    <col min="8188" max="8188" width="6.875" style="157" customWidth="1"/>
    <col min="8189" max="8189" width="12.75" style="157" customWidth="1"/>
    <col min="8190" max="8190" width="5.5" style="157" customWidth="1"/>
    <col min="8191" max="8191" width="6.25" style="157" customWidth="1"/>
    <col min="8192" max="8192" width="9" style="157" customWidth="1"/>
    <col min="8193" max="8193" width="8.5" style="157" customWidth="1"/>
    <col min="8194" max="8194" width="6.375" style="157" customWidth="1"/>
    <col min="8195" max="8195" width="9.875" style="157" customWidth="1"/>
    <col min="8196" max="8196" width="12.875" style="157" customWidth="1"/>
    <col min="8197" max="8197" width="12.625" style="157" customWidth="1"/>
    <col min="8198" max="8435" width="10" style="157"/>
    <col min="8436" max="8436" width="4.125" style="157" customWidth="1"/>
    <col min="8437" max="8437" width="20.5" style="157" customWidth="1"/>
    <col min="8438" max="8438" width="16.5" style="157" customWidth="1"/>
    <col min="8439" max="8439" width="14.625" style="157" customWidth="1"/>
    <col min="8440" max="8440" width="6.125" style="157" customWidth="1"/>
    <col min="8441" max="8442" width="6" style="157" customWidth="1"/>
    <col min="8443" max="8443" width="15.75" style="157" customWidth="1"/>
    <col min="8444" max="8444" width="6.875" style="157" customWidth="1"/>
    <col min="8445" max="8445" width="12.75" style="157" customWidth="1"/>
    <col min="8446" max="8446" width="5.5" style="157" customWidth="1"/>
    <col min="8447" max="8447" width="6.25" style="157" customWidth="1"/>
    <col min="8448" max="8448" width="9" style="157" customWidth="1"/>
    <col min="8449" max="8449" width="8.5" style="157" customWidth="1"/>
    <col min="8450" max="8450" width="6.375" style="157" customWidth="1"/>
    <col min="8451" max="8451" width="9.875" style="157" customWidth="1"/>
    <col min="8452" max="8452" width="12.875" style="157" customWidth="1"/>
    <col min="8453" max="8453" width="12.625" style="157" customWidth="1"/>
    <col min="8454" max="8691" width="10" style="157"/>
    <col min="8692" max="8692" width="4.125" style="157" customWidth="1"/>
    <col min="8693" max="8693" width="20.5" style="157" customWidth="1"/>
    <col min="8694" max="8694" width="16.5" style="157" customWidth="1"/>
    <col min="8695" max="8695" width="14.625" style="157" customWidth="1"/>
    <col min="8696" max="8696" width="6.125" style="157" customWidth="1"/>
    <col min="8697" max="8698" width="6" style="157" customWidth="1"/>
    <col min="8699" max="8699" width="15.75" style="157" customWidth="1"/>
    <col min="8700" max="8700" width="6.875" style="157" customWidth="1"/>
    <col min="8701" max="8701" width="12.75" style="157" customWidth="1"/>
    <col min="8702" max="8702" width="5.5" style="157" customWidth="1"/>
    <col min="8703" max="8703" width="6.25" style="157" customWidth="1"/>
    <col min="8704" max="8704" width="9" style="157" customWidth="1"/>
    <col min="8705" max="8705" width="8.5" style="157" customWidth="1"/>
    <col min="8706" max="8706" width="6.375" style="157" customWidth="1"/>
    <col min="8707" max="8707" width="9.875" style="157" customWidth="1"/>
    <col min="8708" max="8708" width="12.875" style="157" customWidth="1"/>
    <col min="8709" max="8709" width="12.625" style="157" customWidth="1"/>
    <col min="8710" max="8947" width="10" style="157"/>
    <col min="8948" max="8948" width="4.125" style="157" customWidth="1"/>
    <col min="8949" max="8949" width="20.5" style="157" customWidth="1"/>
    <col min="8950" max="8950" width="16.5" style="157" customWidth="1"/>
    <col min="8951" max="8951" width="14.625" style="157" customWidth="1"/>
    <col min="8952" max="8952" width="6.125" style="157" customWidth="1"/>
    <col min="8953" max="8954" width="6" style="157" customWidth="1"/>
    <col min="8955" max="8955" width="15.75" style="157" customWidth="1"/>
    <col min="8956" max="8956" width="6.875" style="157" customWidth="1"/>
    <col min="8957" max="8957" width="12.75" style="157" customWidth="1"/>
    <col min="8958" max="8958" width="5.5" style="157" customWidth="1"/>
    <col min="8959" max="8959" width="6.25" style="157" customWidth="1"/>
    <col min="8960" max="8960" width="9" style="157" customWidth="1"/>
    <col min="8961" max="8961" width="8.5" style="157" customWidth="1"/>
    <col min="8962" max="8962" width="6.375" style="157" customWidth="1"/>
    <col min="8963" max="8963" width="9.875" style="157" customWidth="1"/>
    <col min="8964" max="8964" width="12.875" style="157" customWidth="1"/>
    <col min="8965" max="8965" width="12.625" style="157" customWidth="1"/>
    <col min="8966" max="9203" width="10" style="157"/>
    <col min="9204" max="9204" width="4.125" style="157" customWidth="1"/>
    <col min="9205" max="9205" width="20.5" style="157" customWidth="1"/>
    <col min="9206" max="9206" width="16.5" style="157" customWidth="1"/>
    <col min="9207" max="9207" width="14.625" style="157" customWidth="1"/>
    <col min="9208" max="9208" width="6.125" style="157" customWidth="1"/>
    <col min="9209" max="9210" width="6" style="157" customWidth="1"/>
    <col min="9211" max="9211" width="15.75" style="157" customWidth="1"/>
    <col min="9212" max="9212" width="6.875" style="157" customWidth="1"/>
    <col min="9213" max="9213" width="12.75" style="157" customWidth="1"/>
    <col min="9214" max="9214" width="5.5" style="157" customWidth="1"/>
    <col min="9215" max="9215" width="6.25" style="157" customWidth="1"/>
    <col min="9216" max="9216" width="9" style="157" customWidth="1"/>
    <col min="9217" max="9217" width="8.5" style="157" customWidth="1"/>
    <col min="9218" max="9218" width="6.375" style="157" customWidth="1"/>
    <col min="9219" max="9219" width="9.875" style="157" customWidth="1"/>
    <col min="9220" max="9220" width="12.875" style="157" customWidth="1"/>
    <col min="9221" max="9221" width="12.625" style="157" customWidth="1"/>
    <col min="9222" max="9459" width="10" style="157"/>
    <col min="9460" max="9460" width="4.125" style="157" customWidth="1"/>
    <col min="9461" max="9461" width="20.5" style="157" customWidth="1"/>
    <col min="9462" max="9462" width="16.5" style="157" customWidth="1"/>
    <col min="9463" max="9463" width="14.625" style="157" customWidth="1"/>
    <col min="9464" max="9464" width="6.125" style="157" customWidth="1"/>
    <col min="9465" max="9466" width="6" style="157" customWidth="1"/>
    <col min="9467" max="9467" width="15.75" style="157" customWidth="1"/>
    <col min="9468" max="9468" width="6.875" style="157" customWidth="1"/>
    <col min="9469" max="9469" width="12.75" style="157" customWidth="1"/>
    <col min="9470" max="9470" width="5.5" style="157" customWidth="1"/>
    <col min="9471" max="9471" width="6.25" style="157" customWidth="1"/>
    <col min="9472" max="9472" width="9" style="157" customWidth="1"/>
    <col min="9473" max="9473" width="8.5" style="157" customWidth="1"/>
    <col min="9474" max="9474" width="6.375" style="157" customWidth="1"/>
    <col min="9475" max="9475" width="9.875" style="157" customWidth="1"/>
    <col min="9476" max="9476" width="12.875" style="157" customWidth="1"/>
    <col min="9477" max="9477" width="12.625" style="157" customWidth="1"/>
    <col min="9478" max="9715" width="10" style="157"/>
    <col min="9716" max="9716" width="4.125" style="157" customWidth="1"/>
    <col min="9717" max="9717" width="20.5" style="157" customWidth="1"/>
    <col min="9718" max="9718" width="16.5" style="157" customWidth="1"/>
    <col min="9719" max="9719" width="14.625" style="157" customWidth="1"/>
    <col min="9720" max="9720" width="6.125" style="157" customWidth="1"/>
    <col min="9721" max="9722" width="6" style="157" customWidth="1"/>
    <col min="9723" max="9723" width="15.75" style="157" customWidth="1"/>
    <col min="9724" max="9724" width="6.875" style="157" customWidth="1"/>
    <col min="9725" max="9725" width="12.75" style="157" customWidth="1"/>
    <col min="9726" max="9726" width="5.5" style="157" customWidth="1"/>
    <col min="9727" max="9727" width="6.25" style="157" customWidth="1"/>
    <col min="9728" max="9728" width="9" style="157" customWidth="1"/>
    <col min="9729" max="9729" width="8.5" style="157" customWidth="1"/>
    <col min="9730" max="9730" width="6.375" style="157" customWidth="1"/>
    <col min="9731" max="9731" width="9.875" style="157" customWidth="1"/>
    <col min="9732" max="9732" width="12.875" style="157" customWidth="1"/>
    <col min="9733" max="9733" width="12.625" style="157" customWidth="1"/>
    <col min="9734" max="9971" width="10" style="157"/>
    <col min="9972" max="9972" width="4.125" style="157" customWidth="1"/>
    <col min="9973" max="9973" width="20.5" style="157" customWidth="1"/>
    <col min="9974" max="9974" width="16.5" style="157" customWidth="1"/>
    <col min="9975" max="9975" width="14.625" style="157" customWidth="1"/>
    <col min="9976" max="9976" width="6.125" style="157" customWidth="1"/>
    <col min="9977" max="9978" width="6" style="157" customWidth="1"/>
    <col min="9979" max="9979" width="15.75" style="157" customWidth="1"/>
    <col min="9980" max="9980" width="6.875" style="157" customWidth="1"/>
    <col min="9981" max="9981" width="12.75" style="157" customWidth="1"/>
    <col min="9982" max="9982" width="5.5" style="157" customWidth="1"/>
    <col min="9983" max="9983" width="6.25" style="157" customWidth="1"/>
    <col min="9984" max="9984" width="9" style="157" customWidth="1"/>
    <col min="9985" max="9985" width="8.5" style="157" customWidth="1"/>
    <col min="9986" max="9986" width="6.375" style="157" customWidth="1"/>
    <col min="9987" max="9987" width="9.875" style="157" customWidth="1"/>
    <col min="9988" max="9988" width="12.875" style="157" customWidth="1"/>
    <col min="9989" max="9989" width="12.625" style="157" customWidth="1"/>
    <col min="9990" max="10227" width="10" style="157"/>
    <col min="10228" max="10228" width="4.125" style="157" customWidth="1"/>
    <col min="10229" max="10229" width="20.5" style="157" customWidth="1"/>
    <col min="10230" max="10230" width="16.5" style="157" customWidth="1"/>
    <col min="10231" max="10231" width="14.625" style="157" customWidth="1"/>
    <col min="10232" max="10232" width="6.125" style="157" customWidth="1"/>
    <col min="10233" max="10234" width="6" style="157" customWidth="1"/>
    <col min="10235" max="10235" width="15.75" style="157" customWidth="1"/>
    <col min="10236" max="10236" width="6.875" style="157" customWidth="1"/>
    <col min="10237" max="10237" width="12.75" style="157" customWidth="1"/>
    <col min="10238" max="10238" width="5.5" style="157" customWidth="1"/>
    <col min="10239" max="10239" width="6.25" style="157" customWidth="1"/>
    <col min="10240" max="10240" width="9" style="157" customWidth="1"/>
    <col min="10241" max="10241" width="8.5" style="157" customWidth="1"/>
    <col min="10242" max="10242" width="6.375" style="157" customWidth="1"/>
    <col min="10243" max="10243" width="9.875" style="157" customWidth="1"/>
    <col min="10244" max="10244" width="12.875" style="157" customWidth="1"/>
    <col min="10245" max="10245" width="12.625" style="157" customWidth="1"/>
    <col min="10246" max="10483" width="10" style="157"/>
    <col min="10484" max="10484" width="4.125" style="157" customWidth="1"/>
    <col min="10485" max="10485" width="20.5" style="157" customWidth="1"/>
    <col min="10486" max="10486" width="16.5" style="157" customWidth="1"/>
    <col min="10487" max="10487" width="14.625" style="157" customWidth="1"/>
    <col min="10488" max="10488" width="6.125" style="157" customWidth="1"/>
    <col min="10489" max="10490" width="6" style="157" customWidth="1"/>
    <col min="10491" max="10491" width="15.75" style="157" customWidth="1"/>
    <col min="10492" max="10492" width="6.875" style="157" customWidth="1"/>
    <col min="10493" max="10493" width="12.75" style="157" customWidth="1"/>
    <col min="10494" max="10494" width="5.5" style="157" customWidth="1"/>
    <col min="10495" max="10495" width="6.25" style="157" customWidth="1"/>
    <col min="10496" max="10496" width="9" style="157" customWidth="1"/>
    <col min="10497" max="10497" width="8.5" style="157" customWidth="1"/>
    <col min="10498" max="10498" width="6.375" style="157" customWidth="1"/>
    <col min="10499" max="10499" width="9.875" style="157" customWidth="1"/>
    <col min="10500" max="10500" width="12.875" style="157" customWidth="1"/>
    <col min="10501" max="10501" width="12.625" style="157" customWidth="1"/>
    <col min="10502" max="10739" width="10" style="157"/>
    <col min="10740" max="10740" width="4.125" style="157" customWidth="1"/>
    <col min="10741" max="10741" width="20.5" style="157" customWidth="1"/>
    <col min="10742" max="10742" width="16.5" style="157" customWidth="1"/>
    <col min="10743" max="10743" width="14.625" style="157" customWidth="1"/>
    <col min="10744" max="10744" width="6.125" style="157" customWidth="1"/>
    <col min="10745" max="10746" width="6" style="157" customWidth="1"/>
    <col min="10747" max="10747" width="15.75" style="157" customWidth="1"/>
    <col min="10748" max="10748" width="6.875" style="157" customWidth="1"/>
    <col min="10749" max="10749" width="12.75" style="157" customWidth="1"/>
    <col min="10750" max="10750" width="5.5" style="157" customWidth="1"/>
    <col min="10751" max="10751" width="6.25" style="157" customWidth="1"/>
    <col min="10752" max="10752" width="9" style="157" customWidth="1"/>
    <col min="10753" max="10753" width="8.5" style="157" customWidth="1"/>
    <col min="10754" max="10754" width="6.375" style="157" customWidth="1"/>
    <col min="10755" max="10755" width="9.875" style="157" customWidth="1"/>
    <col min="10756" max="10756" width="12.875" style="157" customWidth="1"/>
    <col min="10757" max="10757" width="12.625" style="157" customWidth="1"/>
    <col min="10758" max="10995" width="10" style="157"/>
    <col min="10996" max="10996" width="4.125" style="157" customWidth="1"/>
    <col min="10997" max="10997" width="20.5" style="157" customWidth="1"/>
    <col min="10998" max="10998" width="16.5" style="157" customWidth="1"/>
    <col min="10999" max="10999" width="14.625" style="157" customWidth="1"/>
    <col min="11000" max="11000" width="6.125" style="157" customWidth="1"/>
    <col min="11001" max="11002" width="6" style="157" customWidth="1"/>
    <col min="11003" max="11003" width="15.75" style="157" customWidth="1"/>
    <col min="11004" max="11004" width="6.875" style="157" customWidth="1"/>
    <col min="11005" max="11005" width="12.75" style="157" customWidth="1"/>
    <col min="11006" max="11006" width="5.5" style="157" customWidth="1"/>
    <col min="11007" max="11007" width="6.25" style="157" customWidth="1"/>
    <col min="11008" max="11008" width="9" style="157" customWidth="1"/>
    <col min="11009" max="11009" width="8.5" style="157" customWidth="1"/>
    <col min="11010" max="11010" width="6.375" style="157" customWidth="1"/>
    <col min="11011" max="11011" width="9.875" style="157" customWidth="1"/>
    <col min="11012" max="11012" width="12.875" style="157" customWidth="1"/>
    <col min="11013" max="11013" width="12.625" style="157" customWidth="1"/>
    <col min="11014" max="11251" width="10" style="157"/>
    <col min="11252" max="11252" width="4.125" style="157" customWidth="1"/>
    <col min="11253" max="11253" width="20.5" style="157" customWidth="1"/>
    <col min="11254" max="11254" width="16.5" style="157" customWidth="1"/>
    <col min="11255" max="11255" width="14.625" style="157" customWidth="1"/>
    <col min="11256" max="11256" width="6.125" style="157" customWidth="1"/>
    <col min="11257" max="11258" width="6" style="157" customWidth="1"/>
    <col min="11259" max="11259" width="15.75" style="157" customWidth="1"/>
    <col min="11260" max="11260" width="6.875" style="157" customWidth="1"/>
    <col min="11261" max="11261" width="12.75" style="157" customWidth="1"/>
    <col min="11262" max="11262" width="5.5" style="157" customWidth="1"/>
    <col min="11263" max="11263" width="6.25" style="157" customWidth="1"/>
    <col min="11264" max="11264" width="9" style="157" customWidth="1"/>
    <col min="11265" max="11265" width="8.5" style="157" customWidth="1"/>
    <col min="11266" max="11266" width="6.375" style="157" customWidth="1"/>
    <col min="11267" max="11267" width="9.875" style="157" customWidth="1"/>
    <col min="11268" max="11268" width="12.875" style="157" customWidth="1"/>
    <col min="11269" max="11269" width="12.625" style="157" customWidth="1"/>
    <col min="11270" max="11507" width="10" style="157"/>
    <col min="11508" max="11508" width="4.125" style="157" customWidth="1"/>
    <col min="11509" max="11509" width="20.5" style="157" customWidth="1"/>
    <col min="11510" max="11510" width="16.5" style="157" customWidth="1"/>
    <col min="11511" max="11511" width="14.625" style="157" customWidth="1"/>
    <col min="11512" max="11512" width="6.125" style="157" customWidth="1"/>
    <col min="11513" max="11514" width="6" style="157" customWidth="1"/>
    <col min="11515" max="11515" width="15.75" style="157" customWidth="1"/>
    <col min="11516" max="11516" width="6.875" style="157" customWidth="1"/>
    <col min="11517" max="11517" width="12.75" style="157" customWidth="1"/>
    <col min="11518" max="11518" width="5.5" style="157" customWidth="1"/>
    <col min="11519" max="11519" width="6.25" style="157" customWidth="1"/>
    <col min="11520" max="11520" width="9" style="157" customWidth="1"/>
    <col min="11521" max="11521" width="8.5" style="157" customWidth="1"/>
    <col min="11522" max="11522" width="6.375" style="157" customWidth="1"/>
    <col min="11523" max="11523" width="9.875" style="157" customWidth="1"/>
    <col min="11524" max="11524" width="12.875" style="157" customWidth="1"/>
    <col min="11525" max="11525" width="12.625" style="157" customWidth="1"/>
    <col min="11526" max="11763" width="10" style="157"/>
    <col min="11764" max="11764" width="4.125" style="157" customWidth="1"/>
    <col min="11765" max="11765" width="20.5" style="157" customWidth="1"/>
    <col min="11766" max="11766" width="16.5" style="157" customWidth="1"/>
    <col min="11767" max="11767" width="14.625" style="157" customWidth="1"/>
    <col min="11768" max="11768" width="6.125" style="157" customWidth="1"/>
    <col min="11769" max="11770" width="6" style="157" customWidth="1"/>
    <col min="11771" max="11771" width="15.75" style="157" customWidth="1"/>
    <col min="11772" max="11772" width="6.875" style="157" customWidth="1"/>
    <col min="11773" max="11773" width="12.75" style="157" customWidth="1"/>
    <col min="11774" max="11774" width="5.5" style="157" customWidth="1"/>
    <col min="11775" max="11775" width="6.25" style="157" customWidth="1"/>
    <col min="11776" max="11776" width="9" style="157" customWidth="1"/>
    <col min="11777" max="11777" width="8.5" style="157" customWidth="1"/>
    <col min="11778" max="11778" width="6.375" style="157" customWidth="1"/>
    <col min="11779" max="11779" width="9.875" style="157" customWidth="1"/>
    <col min="11780" max="11780" width="12.875" style="157" customWidth="1"/>
    <col min="11781" max="11781" width="12.625" style="157" customWidth="1"/>
    <col min="11782" max="12019" width="10" style="157"/>
    <col min="12020" max="12020" width="4.125" style="157" customWidth="1"/>
    <col min="12021" max="12021" width="20.5" style="157" customWidth="1"/>
    <col min="12022" max="12022" width="16.5" style="157" customWidth="1"/>
    <col min="12023" max="12023" width="14.625" style="157" customWidth="1"/>
    <col min="12024" max="12024" width="6.125" style="157" customWidth="1"/>
    <col min="12025" max="12026" width="6" style="157" customWidth="1"/>
    <col min="12027" max="12027" width="15.75" style="157" customWidth="1"/>
    <col min="12028" max="12028" width="6.875" style="157" customWidth="1"/>
    <col min="12029" max="12029" width="12.75" style="157" customWidth="1"/>
    <col min="12030" max="12030" width="5.5" style="157" customWidth="1"/>
    <col min="12031" max="12031" width="6.25" style="157" customWidth="1"/>
    <col min="12032" max="12032" width="9" style="157" customWidth="1"/>
    <col min="12033" max="12033" width="8.5" style="157" customWidth="1"/>
    <col min="12034" max="12034" width="6.375" style="157" customWidth="1"/>
    <col min="12035" max="12035" width="9.875" style="157" customWidth="1"/>
    <col min="12036" max="12036" width="12.875" style="157" customWidth="1"/>
    <col min="12037" max="12037" width="12.625" style="157" customWidth="1"/>
    <col min="12038" max="12275" width="10" style="157"/>
    <col min="12276" max="12276" width="4.125" style="157" customWidth="1"/>
    <col min="12277" max="12277" width="20.5" style="157" customWidth="1"/>
    <col min="12278" max="12278" width="16.5" style="157" customWidth="1"/>
    <col min="12279" max="12279" width="14.625" style="157" customWidth="1"/>
    <col min="12280" max="12280" width="6.125" style="157" customWidth="1"/>
    <col min="12281" max="12282" width="6" style="157" customWidth="1"/>
    <col min="12283" max="12283" width="15.75" style="157" customWidth="1"/>
    <col min="12284" max="12284" width="6.875" style="157" customWidth="1"/>
    <col min="12285" max="12285" width="12.75" style="157" customWidth="1"/>
    <col min="12286" max="12286" width="5.5" style="157" customWidth="1"/>
    <col min="12287" max="12287" width="6.25" style="157" customWidth="1"/>
    <col min="12288" max="12288" width="9" style="157" customWidth="1"/>
    <col min="12289" max="12289" width="8.5" style="157" customWidth="1"/>
    <col min="12290" max="12290" width="6.375" style="157" customWidth="1"/>
    <col min="12291" max="12291" width="9.875" style="157" customWidth="1"/>
    <col min="12292" max="12292" width="12.875" style="157" customWidth="1"/>
    <col min="12293" max="12293" width="12.625" style="157" customWidth="1"/>
    <col min="12294" max="12531" width="10" style="157"/>
    <col min="12532" max="12532" width="4.125" style="157" customWidth="1"/>
    <col min="12533" max="12533" width="20.5" style="157" customWidth="1"/>
    <col min="12534" max="12534" width="16.5" style="157" customWidth="1"/>
    <col min="12535" max="12535" width="14.625" style="157" customWidth="1"/>
    <col min="12536" max="12536" width="6.125" style="157" customWidth="1"/>
    <col min="12537" max="12538" width="6" style="157" customWidth="1"/>
    <col min="12539" max="12539" width="15.75" style="157" customWidth="1"/>
    <col min="12540" max="12540" width="6.875" style="157" customWidth="1"/>
    <col min="12541" max="12541" width="12.75" style="157" customWidth="1"/>
    <col min="12542" max="12542" width="5.5" style="157" customWidth="1"/>
    <col min="12543" max="12543" width="6.25" style="157" customWidth="1"/>
    <col min="12544" max="12544" width="9" style="157" customWidth="1"/>
    <col min="12545" max="12545" width="8.5" style="157" customWidth="1"/>
    <col min="12546" max="12546" width="6.375" style="157" customWidth="1"/>
    <col min="12547" max="12547" width="9.875" style="157" customWidth="1"/>
    <col min="12548" max="12548" width="12.875" style="157" customWidth="1"/>
    <col min="12549" max="12549" width="12.625" style="157" customWidth="1"/>
    <col min="12550" max="12787" width="10" style="157"/>
    <col min="12788" max="12788" width="4.125" style="157" customWidth="1"/>
    <col min="12789" max="12789" width="20.5" style="157" customWidth="1"/>
    <col min="12790" max="12790" width="16.5" style="157" customWidth="1"/>
    <col min="12791" max="12791" width="14.625" style="157" customWidth="1"/>
    <col min="12792" max="12792" width="6.125" style="157" customWidth="1"/>
    <col min="12793" max="12794" width="6" style="157" customWidth="1"/>
    <col min="12795" max="12795" width="15.75" style="157" customWidth="1"/>
    <col min="12796" max="12796" width="6.875" style="157" customWidth="1"/>
    <col min="12797" max="12797" width="12.75" style="157" customWidth="1"/>
    <col min="12798" max="12798" width="5.5" style="157" customWidth="1"/>
    <col min="12799" max="12799" width="6.25" style="157" customWidth="1"/>
    <col min="12800" max="12800" width="9" style="157" customWidth="1"/>
    <col min="12801" max="12801" width="8.5" style="157" customWidth="1"/>
    <col min="12802" max="12802" width="6.375" style="157" customWidth="1"/>
    <col min="12803" max="12803" width="9.875" style="157" customWidth="1"/>
    <col min="12804" max="12804" width="12.875" style="157" customWidth="1"/>
    <col min="12805" max="12805" width="12.625" style="157" customWidth="1"/>
    <col min="12806" max="13043" width="10" style="157"/>
    <col min="13044" max="13044" width="4.125" style="157" customWidth="1"/>
    <col min="13045" max="13045" width="20.5" style="157" customWidth="1"/>
    <col min="13046" max="13046" width="16.5" style="157" customWidth="1"/>
    <col min="13047" max="13047" width="14.625" style="157" customWidth="1"/>
    <col min="13048" max="13048" width="6.125" style="157" customWidth="1"/>
    <col min="13049" max="13050" width="6" style="157" customWidth="1"/>
    <col min="13051" max="13051" width="15.75" style="157" customWidth="1"/>
    <col min="13052" max="13052" width="6.875" style="157" customWidth="1"/>
    <col min="13053" max="13053" width="12.75" style="157" customWidth="1"/>
    <col min="13054" max="13054" width="5.5" style="157" customWidth="1"/>
    <col min="13055" max="13055" width="6.25" style="157" customWidth="1"/>
    <col min="13056" max="13056" width="9" style="157" customWidth="1"/>
    <col min="13057" max="13057" width="8.5" style="157" customWidth="1"/>
    <col min="13058" max="13058" width="6.375" style="157" customWidth="1"/>
    <col min="13059" max="13059" width="9.875" style="157" customWidth="1"/>
    <col min="13060" max="13060" width="12.875" style="157" customWidth="1"/>
    <col min="13061" max="13061" width="12.625" style="157" customWidth="1"/>
    <col min="13062" max="13299" width="10" style="157"/>
    <col min="13300" max="13300" width="4.125" style="157" customWidth="1"/>
    <col min="13301" max="13301" width="20.5" style="157" customWidth="1"/>
    <col min="13302" max="13302" width="16.5" style="157" customWidth="1"/>
    <col min="13303" max="13303" width="14.625" style="157" customWidth="1"/>
    <col min="13304" max="13304" width="6.125" style="157" customWidth="1"/>
    <col min="13305" max="13306" width="6" style="157" customWidth="1"/>
    <col min="13307" max="13307" width="15.75" style="157" customWidth="1"/>
    <col min="13308" max="13308" width="6.875" style="157" customWidth="1"/>
    <col min="13309" max="13309" width="12.75" style="157" customWidth="1"/>
    <col min="13310" max="13310" width="5.5" style="157" customWidth="1"/>
    <col min="13311" max="13311" width="6.25" style="157" customWidth="1"/>
    <col min="13312" max="13312" width="9" style="157" customWidth="1"/>
    <col min="13313" max="13313" width="8.5" style="157" customWidth="1"/>
    <col min="13314" max="13314" width="6.375" style="157" customWidth="1"/>
    <col min="13315" max="13315" width="9.875" style="157" customWidth="1"/>
    <col min="13316" max="13316" width="12.875" style="157" customWidth="1"/>
    <col min="13317" max="13317" width="12.625" style="157" customWidth="1"/>
    <col min="13318" max="13555" width="10" style="157"/>
    <col min="13556" max="13556" width="4.125" style="157" customWidth="1"/>
    <col min="13557" max="13557" width="20.5" style="157" customWidth="1"/>
    <col min="13558" max="13558" width="16.5" style="157" customWidth="1"/>
    <col min="13559" max="13559" width="14.625" style="157" customWidth="1"/>
    <col min="13560" max="13560" width="6.125" style="157" customWidth="1"/>
    <col min="13561" max="13562" width="6" style="157" customWidth="1"/>
    <col min="13563" max="13563" width="15.75" style="157" customWidth="1"/>
    <col min="13564" max="13564" width="6.875" style="157" customWidth="1"/>
    <col min="13565" max="13565" width="12.75" style="157" customWidth="1"/>
    <col min="13566" max="13566" width="5.5" style="157" customWidth="1"/>
    <col min="13567" max="13567" width="6.25" style="157" customWidth="1"/>
    <col min="13568" max="13568" width="9" style="157" customWidth="1"/>
    <col min="13569" max="13569" width="8.5" style="157" customWidth="1"/>
    <col min="13570" max="13570" width="6.375" style="157" customWidth="1"/>
    <col min="13571" max="13571" width="9.875" style="157" customWidth="1"/>
    <col min="13572" max="13572" width="12.875" style="157" customWidth="1"/>
    <col min="13573" max="13573" width="12.625" style="157" customWidth="1"/>
    <col min="13574" max="13811" width="10" style="157"/>
    <col min="13812" max="13812" width="4.125" style="157" customWidth="1"/>
    <col min="13813" max="13813" width="20.5" style="157" customWidth="1"/>
    <col min="13814" max="13814" width="16.5" style="157" customWidth="1"/>
    <col min="13815" max="13815" width="14.625" style="157" customWidth="1"/>
    <col min="13816" max="13816" width="6.125" style="157" customWidth="1"/>
    <col min="13817" max="13818" width="6" style="157" customWidth="1"/>
    <col min="13819" max="13819" width="15.75" style="157" customWidth="1"/>
    <col min="13820" max="13820" width="6.875" style="157" customWidth="1"/>
    <col min="13821" max="13821" width="12.75" style="157" customWidth="1"/>
    <col min="13822" max="13822" width="5.5" style="157" customWidth="1"/>
    <col min="13823" max="13823" width="6.25" style="157" customWidth="1"/>
    <col min="13824" max="13824" width="9" style="157" customWidth="1"/>
    <col min="13825" max="13825" width="8.5" style="157" customWidth="1"/>
    <col min="13826" max="13826" width="6.375" style="157" customWidth="1"/>
    <col min="13827" max="13827" width="9.875" style="157" customWidth="1"/>
    <col min="13828" max="13828" width="12.875" style="157" customWidth="1"/>
    <col min="13829" max="13829" width="12.625" style="157" customWidth="1"/>
    <col min="13830" max="14067" width="10" style="157"/>
    <col min="14068" max="14068" width="4.125" style="157" customWidth="1"/>
    <col min="14069" max="14069" width="20.5" style="157" customWidth="1"/>
    <col min="14070" max="14070" width="16.5" style="157" customWidth="1"/>
    <col min="14071" max="14071" width="14.625" style="157" customWidth="1"/>
    <col min="14072" max="14072" width="6.125" style="157" customWidth="1"/>
    <col min="14073" max="14074" width="6" style="157" customWidth="1"/>
    <col min="14075" max="14075" width="15.75" style="157" customWidth="1"/>
    <col min="14076" max="14076" width="6.875" style="157" customWidth="1"/>
    <col min="14077" max="14077" width="12.75" style="157" customWidth="1"/>
    <col min="14078" max="14078" width="5.5" style="157" customWidth="1"/>
    <col min="14079" max="14079" width="6.25" style="157" customWidth="1"/>
    <col min="14080" max="14080" width="9" style="157" customWidth="1"/>
    <col min="14081" max="14081" width="8.5" style="157" customWidth="1"/>
    <col min="14082" max="14082" width="6.375" style="157" customWidth="1"/>
    <col min="14083" max="14083" width="9.875" style="157" customWidth="1"/>
    <col min="14084" max="14084" width="12.875" style="157" customWidth="1"/>
    <col min="14085" max="14085" width="12.625" style="157" customWidth="1"/>
    <col min="14086" max="14323" width="10" style="157"/>
    <col min="14324" max="14324" width="4.125" style="157" customWidth="1"/>
    <col min="14325" max="14325" width="20.5" style="157" customWidth="1"/>
    <col min="14326" max="14326" width="16.5" style="157" customWidth="1"/>
    <col min="14327" max="14327" width="14.625" style="157" customWidth="1"/>
    <col min="14328" max="14328" width="6.125" style="157" customWidth="1"/>
    <col min="14329" max="14330" width="6" style="157" customWidth="1"/>
    <col min="14331" max="14331" width="15.75" style="157" customWidth="1"/>
    <col min="14332" max="14332" width="6.875" style="157" customWidth="1"/>
    <col min="14333" max="14333" width="12.75" style="157" customWidth="1"/>
    <col min="14334" max="14334" width="5.5" style="157" customWidth="1"/>
    <col min="14335" max="14335" width="6.25" style="157" customWidth="1"/>
    <col min="14336" max="14336" width="9" style="157" customWidth="1"/>
    <col min="14337" max="14337" width="8.5" style="157" customWidth="1"/>
    <col min="14338" max="14338" width="6.375" style="157" customWidth="1"/>
    <col min="14339" max="14339" width="9.875" style="157" customWidth="1"/>
    <col min="14340" max="14340" width="12.875" style="157" customWidth="1"/>
    <col min="14341" max="14341" width="12.625" style="157" customWidth="1"/>
    <col min="14342" max="14579" width="10" style="157"/>
    <col min="14580" max="14580" width="4.125" style="157" customWidth="1"/>
    <col min="14581" max="14581" width="20.5" style="157" customWidth="1"/>
    <col min="14582" max="14582" width="16.5" style="157" customWidth="1"/>
    <col min="14583" max="14583" width="14.625" style="157" customWidth="1"/>
    <col min="14584" max="14584" width="6.125" style="157" customWidth="1"/>
    <col min="14585" max="14586" width="6" style="157" customWidth="1"/>
    <col min="14587" max="14587" width="15.75" style="157" customWidth="1"/>
    <col min="14588" max="14588" width="6.875" style="157" customWidth="1"/>
    <col min="14589" max="14589" width="12.75" style="157" customWidth="1"/>
    <col min="14590" max="14590" width="5.5" style="157" customWidth="1"/>
    <col min="14591" max="14591" width="6.25" style="157" customWidth="1"/>
    <col min="14592" max="14592" width="9" style="157" customWidth="1"/>
    <col min="14593" max="14593" width="8.5" style="157" customWidth="1"/>
    <col min="14594" max="14594" width="6.375" style="157" customWidth="1"/>
    <col min="14595" max="14595" width="9.875" style="157" customWidth="1"/>
    <col min="14596" max="14596" width="12.875" style="157" customWidth="1"/>
    <col min="14597" max="14597" width="12.625" style="157" customWidth="1"/>
    <col min="14598" max="14835" width="10" style="157"/>
    <col min="14836" max="14836" width="4.125" style="157" customWidth="1"/>
    <col min="14837" max="14837" width="20.5" style="157" customWidth="1"/>
    <col min="14838" max="14838" width="16.5" style="157" customWidth="1"/>
    <col min="14839" max="14839" width="14.625" style="157" customWidth="1"/>
    <col min="14840" max="14840" width="6.125" style="157" customWidth="1"/>
    <col min="14841" max="14842" width="6" style="157" customWidth="1"/>
    <col min="14843" max="14843" width="15.75" style="157" customWidth="1"/>
    <col min="14844" max="14844" width="6.875" style="157" customWidth="1"/>
    <col min="14845" max="14845" width="12.75" style="157" customWidth="1"/>
    <col min="14846" max="14846" width="5.5" style="157" customWidth="1"/>
    <col min="14847" max="14847" width="6.25" style="157" customWidth="1"/>
    <col min="14848" max="14848" width="9" style="157" customWidth="1"/>
    <col min="14849" max="14849" width="8.5" style="157" customWidth="1"/>
    <col min="14850" max="14850" width="6.375" style="157" customWidth="1"/>
    <col min="14851" max="14851" width="9.875" style="157" customWidth="1"/>
    <col min="14852" max="14852" width="12.875" style="157" customWidth="1"/>
    <col min="14853" max="14853" width="12.625" style="157" customWidth="1"/>
    <col min="14854" max="15091" width="10" style="157"/>
    <col min="15092" max="15092" width="4.125" style="157" customWidth="1"/>
    <col min="15093" max="15093" width="20.5" style="157" customWidth="1"/>
    <col min="15094" max="15094" width="16.5" style="157" customWidth="1"/>
    <col min="15095" max="15095" width="14.625" style="157" customWidth="1"/>
    <col min="15096" max="15096" width="6.125" style="157" customWidth="1"/>
    <col min="15097" max="15098" width="6" style="157" customWidth="1"/>
    <col min="15099" max="15099" width="15.75" style="157" customWidth="1"/>
    <col min="15100" max="15100" width="6.875" style="157" customWidth="1"/>
    <col min="15101" max="15101" width="12.75" style="157" customWidth="1"/>
    <col min="15102" max="15102" width="5.5" style="157" customWidth="1"/>
    <col min="15103" max="15103" width="6.25" style="157" customWidth="1"/>
    <col min="15104" max="15104" width="9" style="157" customWidth="1"/>
    <col min="15105" max="15105" width="8.5" style="157" customWidth="1"/>
    <col min="15106" max="15106" width="6.375" style="157" customWidth="1"/>
    <col min="15107" max="15107" width="9.875" style="157" customWidth="1"/>
    <col min="15108" max="15108" width="12.875" style="157" customWidth="1"/>
    <col min="15109" max="15109" width="12.625" style="157" customWidth="1"/>
    <col min="15110" max="15347" width="10" style="157"/>
    <col min="15348" max="15348" width="4.125" style="157" customWidth="1"/>
    <col min="15349" max="15349" width="20.5" style="157" customWidth="1"/>
    <col min="15350" max="15350" width="16.5" style="157" customWidth="1"/>
    <col min="15351" max="15351" width="14.625" style="157" customWidth="1"/>
    <col min="15352" max="15352" width="6.125" style="157" customWidth="1"/>
    <col min="15353" max="15354" width="6" style="157" customWidth="1"/>
    <col min="15355" max="15355" width="15.75" style="157" customWidth="1"/>
    <col min="15356" max="15356" width="6.875" style="157" customWidth="1"/>
    <col min="15357" max="15357" width="12.75" style="157" customWidth="1"/>
    <col min="15358" max="15358" width="5.5" style="157" customWidth="1"/>
    <col min="15359" max="15359" width="6.25" style="157" customWidth="1"/>
    <col min="15360" max="15360" width="9" style="157" customWidth="1"/>
    <col min="15361" max="15361" width="8.5" style="157" customWidth="1"/>
    <col min="15362" max="15362" width="6.375" style="157" customWidth="1"/>
    <col min="15363" max="15363" width="9.875" style="157" customWidth="1"/>
    <col min="15364" max="15364" width="12.875" style="157" customWidth="1"/>
    <col min="15365" max="15365" width="12.625" style="157" customWidth="1"/>
    <col min="15366" max="15603" width="10" style="157"/>
    <col min="15604" max="15604" width="4.125" style="157" customWidth="1"/>
    <col min="15605" max="15605" width="20.5" style="157" customWidth="1"/>
    <col min="15606" max="15606" width="16.5" style="157" customWidth="1"/>
    <col min="15607" max="15607" width="14.625" style="157" customWidth="1"/>
    <col min="15608" max="15608" width="6.125" style="157" customWidth="1"/>
    <col min="15609" max="15610" width="6" style="157" customWidth="1"/>
    <col min="15611" max="15611" width="15.75" style="157" customWidth="1"/>
    <col min="15612" max="15612" width="6.875" style="157" customWidth="1"/>
    <col min="15613" max="15613" width="12.75" style="157" customWidth="1"/>
    <col min="15614" max="15614" width="5.5" style="157" customWidth="1"/>
    <col min="15615" max="15615" width="6.25" style="157" customWidth="1"/>
    <col min="15616" max="15616" width="9" style="157" customWidth="1"/>
    <col min="15617" max="15617" width="8.5" style="157" customWidth="1"/>
    <col min="15618" max="15618" width="6.375" style="157" customWidth="1"/>
    <col min="15619" max="15619" width="9.875" style="157" customWidth="1"/>
    <col min="15620" max="15620" width="12.875" style="157" customWidth="1"/>
    <col min="15621" max="15621" width="12.625" style="157" customWidth="1"/>
    <col min="15622" max="15859" width="10" style="157"/>
    <col min="15860" max="15860" width="4.125" style="157" customWidth="1"/>
    <col min="15861" max="15861" width="20.5" style="157" customWidth="1"/>
    <col min="15862" max="15862" width="16.5" style="157" customWidth="1"/>
    <col min="15863" max="15863" width="14.625" style="157" customWidth="1"/>
    <col min="15864" max="15864" width="6.125" style="157" customWidth="1"/>
    <col min="15865" max="15866" width="6" style="157" customWidth="1"/>
    <col min="15867" max="15867" width="15.75" style="157" customWidth="1"/>
    <col min="15868" max="15868" width="6.875" style="157" customWidth="1"/>
    <col min="15869" max="15869" width="12.75" style="157" customWidth="1"/>
    <col min="15870" max="15870" width="5.5" style="157" customWidth="1"/>
    <col min="15871" max="15871" width="6.25" style="157" customWidth="1"/>
    <col min="15872" max="15872" width="9" style="157" customWidth="1"/>
    <col min="15873" max="15873" width="8.5" style="157" customWidth="1"/>
    <col min="15874" max="15874" width="6.375" style="157" customWidth="1"/>
    <col min="15875" max="15875" width="9.875" style="157" customWidth="1"/>
    <col min="15876" max="15876" width="12.875" style="157" customWidth="1"/>
    <col min="15877" max="15877" width="12.625" style="157" customWidth="1"/>
    <col min="15878" max="16115" width="10" style="157"/>
    <col min="16116" max="16116" width="4.125" style="157" customWidth="1"/>
    <col min="16117" max="16117" width="20.5" style="157" customWidth="1"/>
    <col min="16118" max="16118" width="16.5" style="157" customWidth="1"/>
    <col min="16119" max="16119" width="14.625" style="157" customWidth="1"/>
    <col min="16120" max="16120" width="6.125" style="157" customWidth="1"/>
    <col min="16121" max="16122" width="6" style="157" customWidth="1"/>
    <col min="16123" max="16123" width="15.75" style="157" customWidth="1"/>
    <col min="16124" max="16124" width="6.875" style="157" customWidth="1"/>
    <col min="16125" max="16125" width="12.75" style="157" customWidth="1"/>
    <col min="16126" max="16126" width="5.5" style="157" customWidth="1"/>
    <col min="16127" max="16127" width="6.25" style="157" customWidth="1"/>
    <col min="16128" max="16128" width="9" style="157" customWidth="1"/>
    <col min="16129" max="16129" width="8.5" style="157" customWidth="1"/>
    <col min="16130" max="16130" width="6.375" style="157" customWidth="1"/>
    <col min="16131" max="16131" width="9.875" style="157" customWidth="1"/>
    <col min="16132" max="16132" width="12.875" style="157" customWidth="1"/>
    <col min="16133" max="16133" width="12.625" style="157" customWidth="1"/>
    <col min="16134" max="16384" width="10" style="157"/>
  </cols>
  <sheetData>
    <row r="1" ht="31.5" customHeight="1" spans="1:17">
      <c r="A1" s="292" t="s">
        <v>312</v>
      </c>
      <c r="B1" s="293"/>
      <c r="C1" s="293"/>
      <c r="D1" s="293"/>
      <c r="E1" s="293"/>
      <c r="F1" s="293"/>
      <c r="G1" s="293"/>
      <c r="H1" s="293"/>
      <c r="I1" s="293"/>
      <c r="J1" s="293"/>
      <c r="K1" s="293"/>
      <c r="L1" s="293"/>
      <c r="M1" s="293"/>
      <c r="N1" s="293"/>
      <c r="O1" s="293"/>
      <c r="P1" s="293"/>
      <c r="Q1" s="293"/>
    </row>
    <row r="2" s="156" customFormat="1" ht="28.5" customHeight="1" spans="1:28">
      <c r="A2" s="170" t="str">
        <f>设定!B4&amp;YEAR(设定!C4)&amp;"年"&amp;MONTH(设定!C4)&amp;"月"&amp;DAY(设定!C4)&amp;"日"</f>
        <v>评估基准日：2022年3月17日</v>
      </c>
      <c r="B2" s="171"/>
      <c r="C2" s="171"/>
      <c r="D2" s="171"/>
      <c r="E2" s="171"/>
      <c r="F2" s="171"/>
      <c r="G2" s="171"/>
      <c r="H2" s="171"/>
      <c r="I2" s="171"/>
      <c r="J2" s="171"/>
      <c r="K2" s="171"/>
      <c r="L2" s="171"/>
      <c r="M2" s="171"/>
      <c r="N2" s="171"/>
      <c r="O2" s="171"/>
      <c r="P2" s="171"/>
      <c r="Q2" s="171"/>
      <c r="R2" s="202"/>
      <c r="S2" s="203"/>
      <c r="T2" s="203"/>
      <c r="U2" s="203"/>
      <c r="V2" s="203"/>
      <c r="W2" s="203"/>
      <c r="X2" s="203"/>
      <c r="Y2" s="203"/>
      <c r="Z2" s="203"/>
      <c r="AA2" s="204"/>
      <c r="AB2" s="203"/>
    </row>
    <row r="3" s="156" customFormat="1" ht="22.15" customHeight="1" spans="1:28">
      <c r="A3" s="172" t="str">
        <f>设定!$B$3&amp;设定!$C$3</f>
        <v>被评估单位：江阴市金捷利制管有限公司</v>
      </c>
      <c r="B3" s="173"/>
      <c r="C3" s="173"/>
      <c r="D3" s="173"/>
      <c r="E3" s="173"/>
      <c r="F3" s="173"/>
      <c r="G3" s="173"/>
      <c r="H3" s="173"/>
      <c r="I3" s="173"/>
      <c r="J3" s="173"/>
      <c r="K3" s="173"/>
      <c r="L3" s="173"/>
      <c r="M3" s="173"/>
      <c r="N3" s="173"/>
      <c r="O3" s="173"/>
      <c r="P3" s="206" t="s">
        <v>300</v>
      </c>
      <c r="Q3" s="306"/>
      <c r="R3" s="202"/>
      <c r="S3" s="203"/>
      <c r="T3" s="203"/>
      <c r="U3" s="203"/>
      <c r="V3" s="203"/>
      <c r="W3" s="203"/>
      <c r="X3" s="203"/>
      <c r="Y3" s="203"/>
      <c r="Z3" s="203"/>
      <c r="AA3" s="273"/>
      <c r="AB3" s="203"/>
    </row>
    <row r="4" s="156" customFormat="1" ht="19.9" customHeight="1" spans="1:40">
      <c r="A4" s="210" t="s">
        <v>20</v>
      </c>
      <c r="B4" s="294" t="s">
        <v>313</v>
      </c>
      <c r="C4" s="210" t="s">
        <v>288</v>
      </c>
      <c r="D4" s="295" t="s">
        <v>289</v>
      </c>
      <c r="E4" s="295" t="s">
        <v>23</v>
      </c>
      <c r="F4" s="210" t="s">
        <v>75</v>
      </c>
      <c r="G4" s="295" t="s">
        <v>290</v>
      </c>
      <c r="H4" s="210" t="s">
        <v>302</v>
      </c>
      <c r="I4" s="295" t="s">
        <v>314</v>
      </c>
      <c r="J4" s="210" t="s">
        <v>315</v>
      </c>
      <c r="K4" s="190" t="s">
        <v>316</v>
      </c>
      <c r="L4" s="191"/>
      <c r="M4" s="191"/>
      <c r="N4" s="191"/>
      <c r="O4" s="192"/>
      <c r="P4" s="210" t="s">
        <v>303</v>
      </c>
      <c r="Q4" s="210" t="s">
        <v>8</v>
      </c>
      <c r="R4" s="307"/>
      <c r="S4" s="266" t="s">
        <v>317</v>
      </c>
      <c r="T4" s="266" t="s">
        <v>318</v>
      </c>
      <c r="U4" s="308" t="s">
        <v>319</v>
      </c>
      <c r="V4" s="309"/>
      <c r="W4" s="310"/>
      <c r="X4" s="266" t="s">
        <v>320</v>
      </c>
      <c r="Y4" s="266" t="s">
        <v>321</v>
      </c>
      <c r="Z4" s="266" t="s">
        <v>322</v>
      </c>
      <c r="AA4" s="245" t="s">
        <v>303</v>
      </c>
      <c r="AB4" s="266" t="s">
        <v>8</v>
      </c>
      <c r="AD4" s="312" t="s">
        <v>323</v>
      </c>
      <c r="AE4" s="312" t="s">
        <v>324</v>
      </c>
      <c r="AF4" s="312" t="s">
        <v>325</v>
      </c>
      <c r="AG4" s="312" t="s">
        <v>326</v>
      </c>
      <c r="AH4" s="312"/>
      <c r="AI4" s="312"/>
      <c r="AJ4" s="312"/>
      <c r="AK4" s="312"/>
      <c r="AL4" s="316" t="s">
        <v>327</v>
      </c>
      <c r="AM4" s="316"/>
      <c r="AN4" s="317" t="s">
        <v>8</v>
      </c>
    </row>
    <row r="5" s="156" customFormat="1" ht="28.5" spans="1:40">
      <c r="A5" s="211"/>
      <c r="B5" s="211"/>
      <c r="C5" s="211"/>
      <c r="D5" s="296"/>
      <c r="E5" s="296"/>
      <c r="F5" s="211"/>
      <c r="G5" s="296"/>
      <c r="H5" s="211"/>
      <c r="I5" s="211"/>
      <c r="J5" s="211"/>
      <c r="K5" s="304" t="s">
        <v>328</v>
      </c>
      <c r="L5" s="304" t="s">
        <v>329</v>
      </c>
      <c r="M5" s="304" t="s">
        <v>330</v>
      </c>
      <c r="N5" s="304" t="s">
        <v>331</v>
      </c>
      <c r="O5" s="304" t="s">
        <v>332</v>
      </c>
      <c r="P5" s="211"/>
      <c r="Q5" s="211"/>
      <c r="R5" s="307"/>
      <c r="S5" s="270"/>
      <c r="T5" s="270"/>
      <c r="U5" s="311" t="s">
        <v>333</v>
      </c>
      <c r="V5" s="311" t="s">
        <v>334</v>
      </c>
      <c r="W5" s="311" t="s">
        <v>335</v>
      </c>
      <c r="X5" s="270"/>
      <c r="Y5" s="270"/>
      <c r="Z5" s="270"/>
      <c r="AA5" s="221"/>
      <c r="AB5" s="220"/>
      <c r="AD5" s="312"/>
      <c r="AE5" s="312"/>
      <c r="AF5" s="312" t="s">
        <v>325</v>
      </c>
      <c r="AG5" s="318" t="s">
        <v>336</v>
      </c>
      <c r="AH5" s="318" t="s">
        <v>337</v>
      </c>
      <c r="AI5" s="318" t="s">
        <v>338</v>
      </c>
      <c r="AJ5" s="318" t="s">
        <v>339</v>
      </c>
      <c r="AK5" s="318" t="s">
        <v>340</v>
      </c>
      <c r="AL5" s="316" t="s">
        <v>341</v>
      </c>
      <c r="AM5" s="316" t="s">
        <v>342</v>
      </c>
      <c r="AN5" s="317"/>
    </row>
    <row r="6" s="156" customFormat="1" ht="22.15" customHeight="1" spans="1:40">
      <c r="A6" s="182">
        <f>物资类勘察表!A5</f>
        <v>1</v>
      </c>
      <c r="B6" s="182" t="str">
        <f>物资类勘察表!B5</f>
        <v>成品焊管</v>
      </c>
      <c r="C6" s="182" t="str">
        <f>物资类勘察表!C5</f>
        <v>φ10-φ50</v>
      </c>
      <c r="D6" s="182"/>
      <c r="E6" s="279" t="str">
        <f>物资类勘察表!D5</f>
        <v>吨</v>
      </c>
      <c r="F6" s="297">
        <f>物资类勘察表!G5</f>
        <v>98</v>
      </c>
      <c r="G6" s="298" t="s">
        <v>343</v>
      </c>
      <c r="H6" s="299"/>
      <c r="I6" s="305"/>
      <c r="J6" s="299"/>
      <c r="K6" s="182"/>
      <c r="L6" s="182"/>
      <c r="M6" s="182"/>
      <c r="N6" s="182"/>
      <c r="O6" s="284"/>
      <c r="P6" s="223">
        <f>AA6</f>
        <v>4900</v>
      </c>
      <c r="Q6" s="223" t="str">
        <f>AB6</f>
        <v>50元/吨</v>
      </c>
      <c r="R6" s="202"/>
      <c r="S6" s="225" t="s">
        <v>344</v>
      </c>
      <c r="T6" s="225">
        <v>25</v>
      </c>
      <c r="U6" s="239">
        <f>IF(S6=国内运杂费率参考指标!$C$25,国内运杂费率参考指标!$C$26,IF(S6=国内运杂费率参考指标!$D$25,国内运杂费率参考指标!$D$26,IF(物资类评估明细表!S6=国内运杂费率参考指标!$E$25,国内运杂费率参考指标!$E$26,IF(物资类评估明细表!S6=国内运杂费率参考指标!$F$25,国内运杂费率参考指标!$F$26,0))))</f>
        <v>0.64</v>
      </c>
      <c r="V6" s="225">
        <v>30</v>
      </c>
      <c r="W6" s="239">
        <f>ROUND(U6*V6,2)</f>
        <v>19.2</v>
      </c>
      <c r="X6" s="239">
        <f>IF(S6=国内运杂费率参考指标!$C$25,国内运杂费率参考指标!$C$27,IF(S6=国内运杂费率参考指标!$D$25,国内运杂费率参考指标!$D$27,IF(物资类评估明细表!S6=国内运杂费率参考指标!$E$25,国内运杂费率参考指标!$E$27,IF(物资类评估明细表!S6=国内运杂费率参考指标!$F$25,国内运杂费率参考指标!$F$27,0))))</f>
        <v>2.7</v>
      </c>
      <c r="Y6" s="239">
        <f>IF(S6=国内运杂费率参考指标!$C$25,国内运杂费率参考指标!$C$28,IF(S6=国内运杂费率参考指标!$D$25,国内运杂费率参考指标!$D$28,IF(物资类评估明细表!S6=国内运杂费率参考指标!$E$25,国内运杂费率参考指标!$E$28,IF(物资类评估明细表!S6=国内运杂费率参考指标!$F$25,国内运杂费率参考指标!$F$28,0))))</f>
        <v>2.7</v>
      </c>
      <c r="Z6" s="313">
        <f>ROUND(T6+W6+X6+Y6,0)</f>
        <v>50</v>
      </c>
      <c r="AA6" s="239">
        <f>ROUND(Z6*F6,-1)</f>
        <v>4900</v>
      </c>
      <c r="AB6" s="239" t="str">
        <f>IF(AA6=0,"",Z6&amp;"元/"&amp;E6)</f>
        <v>50元/吨</v>
      </c>
      <c r="AC6" s="314"/>
      <c r="AD6" s="315" t="s">
        <v>345</v>
      </c>
      <c r="AE6" s="315" t="s">
        <v>346</v>
      </c>
      <c r="AF6" s="315" t="s">
        <v>347</v>
      </c>
      <c r="AG6" s="315">
        <v>18912454824</v>
      </c>
      <c r="AH6" s="315"/>
      <c r="AI6" s="315"/>
      <c r="AJ6" s="315"/>
      <c r="AK6" s="315"/>
      <c r="AL6" s="315">
        <v>500</v>
      </c>
      <c r="AM6" s="315">
        <f>F6*AL6</f>
        <v>49000</v>
      </c>
      <c r="AN6" s="319" t="s">
        <v>348</v>
      </c>
    </row>
    <row r="7" s="156" customFormat="1" ht="22.15" customHeight="1" spans="1:40">
      <c r="A7" s="182">
        <f>物资类勘察表!A6</f>
        <v>2</v>
      </c>
      <c r="B7" s="182" t="str">
        <f>物资类勘察表!B6</f>
        <v>成品钢带</v>
      </c>
      <c r="C7" s="182" t="str">
        <f>物资类勘察表!C6</f>
        <v>31mm-155mm</v>
      </c>
      <c r="D7" s="182"/>
      <c r="E7" s="279" t="str">
        <f>物资类勘察表!D6</f>
        <v>吨</v>
      </c>
      <c r="F7" s="297">
        <f>物资类勘察表!G6</f>
        <v>249</v>
      </c>
      <c r="G7" s="298" t="s">
        <v>343</v>
      </c>
      <c r="H7" s="299"/>
      <c r="I7" s="305"/>
      <c r="J7" s="299"/>
      <c r="K7" s="182"/>
      <c r="L7" s="182"/>
      <c r="M7" s="182"/>
      <c r="N7" s="182"/>
      <c r="O7" s="284"/>
      <c r="P7" s="223">
        <f t="shared" ref="P7:P34" si="0">AA7</f>
        <v>12450</v>
      </c>
      <c r="Q7" s="223" t="str">
        <f t="shared" ref="Q7:Q34" si="1">AB7</f>
        <v>50元/吨</v>
      </c>
      <c r="R7" s="202"/>
      <c r="S7" s="225" t="s">
        <v>344</v>
      </c>
      <c r="T7" s="225">
        <v>25</v>
      </c>
      <c r="U7" s="239">
        <f>IF(S7=国内运杂费率参考指标!$C$25,国内运杂费率参考指标!$C$26,IF(S7=国内运杂费率参考指标!$D$25,国内运杂费率参考指标!$D$26,IF(物资类评估明细表!S7=国内运杂费率参考指标!$E$25,国内运杂费率参考指标!$E$26,IF(物资类评估明细表!S7=国内运杂费率参考指标!$F$25,国内运杂费率参考指标!$F$26,0))))</f>
        <v>0.64</v>
      </c>
      <c r="V7" s="225">
        <v>30</v>
      </c>
      <c r="W7" s="239">
        <f t="shared" ref="W7:W22" si="2">ROUND(U7*V7,2)</f>
        <v>19.2</v>
      </c>
      <c r="X7" s="239">
        <f>IF(S7=国内运杂费率参考指标!$C$25,国内运杂费率参考指标!$C$27,IF(S7=国内运杂费率参考指标!$D$25,国内运杂费率参考指标!$D$27,IF(物资类评估明细表!S7=国内运杂费率参考指标!$E$25,国内运杂费率参考指标!$E$27,IF(物资类评估明细表!S7=国内运杂费率参考指标!$F$25,国内运杂费率参考指标!$F$27,0))))</f>
        <v>2.7</v>
      </c>
      <c r="Y7" s="239">
        <f>IF(S7=国内运杂费率参考指标!$C$25,国内运杂费率参考指标!$C$28,IF(S7=国内运杂费率参考指标!$D$25,国内运杂费率参考指标!$D$28,IF(物资类评估明细表!S7=国内运杂费率参考指标!$E$25,国内运杂费率参考指标!$E$28,IF(物资类评估明细表!S7=国内运杂费率参考指标!$F$25,国内运杂费率参考指标!$F$28,0))))</f>
        <v>2.7</v>
      </c>
      <c r="Z7" s="313">
        <f t="shared" ref="Z7:Z22" si="3">ROUND(T7+W7+X7+Y7,0)</f>
        <v>50</v>
      </c>
      <c r="AA7" s="239">
        <f t="shared" ref="AA7:AA22" si="4">ROUND(Z7*F7,-1)</f>
        <v>12450</v>
      </c>
      <c r="AB7" s="239" t="str">
        <f t="shared" ref="AB7:AB22" si="5">IF(AA7=0,"",Z7&amp;"元/"&amp;E7)</f>
        <v>50元/吨</v>
      </c>
      <c r="AD7" s="315" t="s">
        <v>345</v>
      </c>
      <c r="AE7" s="315" t="s">
        <v>346</v>
      </c>
      <c r="AF7" s="315" t="s">
        <v>347</v>
      </c>
      <c r="AG7" s="315">
        <v>18912454824</v>
      </c>
      <c r="AH7" s="319"/>
      <c r="AI7" s="319"/>
      <c r="AJ7" s="319"/>
      <c r="AK7" s="319"/>
      <c r="AL7" s="320">
        <v>400</v>
      </c>
      <c r="AM7" s="315">
        <f>F7*AL7</f>
        <v>99600</v>
      </c>
      <c r="AN7" s="319" t="s">
        <v>348</v>
      </c>
    </row>
    <row r="8" s="156" customFormat="1" ht="22.15" customHeight="1" spans="1:28">
      <c r="A8" s="182">
        <f>物资类勘察表!A7</f>
        <v>3</v>
      </c>
      <c r="B8" s="182" t="str">
        <f>物资类勘察表!B7</f>
        <v>铁架</v>
      </c>
      <c r="C8" s="182">
        <f>物资类勘察表!C7</f>
        <v>0</v>
      </c>
      <c r="D8" s="182"/>
      <c r="E8" s="279" t="str">
        <f>物资类勘察表!D7</f>
        <v>只</v>
      </c>
      <c r="F8" s="297">
        <f>物资类勘察表!G7</f>
        <v>25</v>
      </c>
      <c r="G8" s="298" t="s">
        <v>343</v>
      </c>
      <c r="H8" s="299"/>
      <c r="I8" s="305"/>
      <c r="J8" s="299"/>
      <c r="K8" s="182"/>
      <c r="L8" s="182"/>
      <c r="M8" s="182"/>
      <c r="N8" s="182"/>
      <c r="O8" s="284"/>
      <c r="P8" s="223">
        <f t="shared" si="0"/>
        <v>1250</v>
      </c>
      <c r="Q8" s="223" t="str">
        <f t="shared" si="1"/>
        <v>50元/只</v>
      </c>
      <c r="R8" s="202"/>
      <c r="S8" s="225" t="s">
        <v>344</v>
      </c>
      <c r="T8" s="225">
        <v>25</v>
      </c>
      <c r="U8" s="239">
        <f>IF(S8=国内运杂费率参考指标!$C$25,国内运杂费率参考指标!$C$26,IF(S8=国内运杂费率参考指标!$D$25,国内运杂费率参考指标!$D$26,IF(物资类评估明细表!S8=国内运杂费率参考指标!$E$25,国内运杂费率参考指标!$E$26,IF(物资类评估明细表!S8=国内运杂费率参考指标!$F$25,国内运杂费率参考指标!$F$26,0))))</f>
        <v>0.64</v>
      </c>
      <c r="V8" s="225">
        <v>30</v>
      </c>
      <c r="W8" s="239">
        <f t="shared" si="2"/>
        <v>19.2</v>
      </c>
      <c r="X8" s="239">
        <f>IF(S8=国内运杂费率参考指标!$C$25,国内运杂费率参考指标!$C$27,IF(S8=国内运杂费率参考指标!$D$25,国内运杂费率参考指标!$D$27,IF(物资类评估明细表!S8=国内运杂费率参考指标!$E$25,国内运杂费率参考指标!$E$27,IF(物资类评估明细表!S8=国内运杂费率参考指标!$F$25,国内运杂费率参考指标!$F$27,0))))</f>
        <v>2.7</v>
      </c>
      <c r="Y8" s="239">
        <f>IF(S8=国内运杂费率参考指标!$C$25,国内运杂费率参考指标!$C$28,IF(S8=国内运杂费率参考指标!$D$25,国内运杂费率参考指标!$D$28,IF(物资类评估明细表!S8=国内运杂费率参考指标!$E$25,国内运杂费率参考指标!$E$28,IF(物资类评估明细表!S8=国内运杂费率参考指标!$F$25,国内运杂费率参考指标!$F$28,0))))</f>
        <v>2.7</v>
      </c>
      <c r="Z8" s="313">
        <f t="shared" si="3"/>
        <v>50</v>
      </c>
      <c r="AA8" s="239">
        <f t="shared" si="4"/>
        <v>1250</v>
      </c>
      <c r="AB8" s="239" t="str">
        <f t="shared" si="5"/>
        <v>50元/只</v>
      </c>
    </row>
    <row r="9" s="156" customFormat="1" ht="22.15" customHeight="1" spans="1:29">
      <c r="A9" s="182">
        <f>物资类勘察表!A8</f>
        <v>4</v>
      </c>
      <c r="B9" s="182" t="str">
        <f>物资类勘察表!B8</f>
        <v>储带架</v>
      </c>
      <c r="C9" s="182">
        <f>物资类勘察表!C8</f>
        <v>0</v>
      </c>
      <c r="D9" s="182"/>
      <c r="E9" s="279" t="str">
        <f>物资类勘察表!D8</f>
        <v>条</v>
      </c>
      <c r="F9" s="297">
        <f>物资类勘察表!G8</f>
        <v>49</v>
      </c>
      <c r="G9" s="298" t="s">
        <v>343</v>
      </c>
      <c r="H9" s="299"/>
      <c r="I9" s="305"/>
      <c r="J9" s="299"/>
      <c r="K9" s="182"/>
      <c r="L9" s="182"/>
      <c r="M9" s="182"/>
      <c r="N9" s="182"/>
      <c r="O9" s="284"/>
      <c r="P9" s="223">
        <f t="shared" si="0"/>
        <v>2450</v>
      </c>
      <c r="Q9" s="223" t="str">
        <f t="shared" si="1"/>
        <v>50元/条</v>
      </c>
      <c r="R9" s="202"/>
      <c r="S9" s="225" t="s">
        <v>344</v>
      </c>
      <c r="T9" s="225">
        <v>25</v>
      </c>
      <c r="U9" s="239">
        <f>IF(S9=国内运杂费率参考指标!$C$25,国内运杂费率参考指标!$C$26,IF(S9=国内运杂费率参考指标!$D$25,国内运杂费率参考指标!$D$26,IF(物资类评估明细表!S9=国内运杂费率参考指标!$E$25,国内运杂费率参考指标!$E$26,IF(物资类评估明细表!S9=国内运杂费率参考指标!$F$25,国内运杂费率参考指标!$F$26,0))))</f>
        <v>0.64</v>
      </c>
      <c r="V9" s="225">
        <v>30</v>
      </c>
      <c r="W9" s="239">
        <f t="shared" si="2"/>
        <v>19.2</v>
      </c>
      <c r="X9" s="239">
        <f>IF(S9=国内运杂费率参考指标!$C$25,国内运杂费率参考指标!$C$27,IF(S9=国内运杂费率参考指标!$D$25,国内运杂费率参考指标!$D$27,IF(物资类评估明细表!S9=国内运杂费率参考指标!$E$25,国内运杂费率参考指标!$E$27,IF(物资类评估明细表!S9=国内运杂费率参考指标!$F$25,国内运杂费率参考指标!$F$27,0))))</f>
        <v>2.7</v>
      </c>
      <c r="Y9" s="239">
        <f>IF(S9=国内运杂费率参考指标!$C$25,国内运杂费率参考指标!$C$28,IF(S9=国内运杂费率参考指标!$D$25,国内运杂费率参考指标!$D$28,IF(物资类评估明细表!S9=国内运杂费率参考指标!$E$25,国内运杂费率参考指标!$E$28,IF(物资类评估明细表!S9=国内运杂费率参考指标!$F$25,国内运杂费率参考指标!$F$28,0))))</f>
        <v>2.7</v>
      </c>
      <c r="Z9" s="313">
        <f t="shared" si="3"/>
        <v>50</v>
      </c>
      <c r="AA9" s="239">
        <f t="shared" si="4"/>
        <v>2450</v>
      </c>
      <c r="AB9" s="239" t="str">
        <f t="shared" si="5"/>
        <v>50元/条</v>
      </c>
      <c r="AC9" s="314"/>
    </row>
    <row r="10" s="156" customFormat="1" ht="22.15" customHeight="1" spans="1:28">
      <c r="A10" s="182">
        <f>物资类勘察表!A9</f>
        <v>5</v>
      </c>
      <c r="B10" s="182" t="str">
        <f>物资类勘察表!B9</f>
        <v>储管架</v>
      </c>
      <c r="C10" s="182">
        <f>物资类勘察表!C9</f>
        <v>0</v>
      </c>
      <c r="D10" s="182"/>
      <c r="E10" s="279" t="str">
        <f>物资类勘察表!D9</f>
        <v>条</v>
      </c>
      <c r="F10" s="297">
        <f>物资类勘察表!G9</f>
        <v>80</v>
      </c>
      <c r="G10" s="298" t="s">
        <v>343</v>
      </c>
      <c r="H10" s="299"/>
      <c r="I10" s="305"/>
      <c r="J10" s="299"/>
      <c r="K10" s="182"/>
      <c r="L10" s="182"/>
      <c r="M10" s="182"/>
      <c r="N10" s="182"/>
      <c r="O10" s="284"/>
      <c r="P10" s="223">
        <f t="shared" si="0"/>
        <v>4000</v>
      </c>
      <c r="Q10" s="223" t="str">
        <f t="shared" si="1"/>
        <v>50元/条</v>
      </c>
      <c r="R10" s="202"/>
      <c r="S10" s="225" t="s">
        <v>344</v>
      </c>
      <c r="T10" s="225">
        <v>25</v>
      </c>
      <c r="U10" s="239">
        <f>IF(S10=国内运杂费率参考指标!$C$25,国内运杂费率参考指标!$C$26,IF(S10=国内运杂费率参考指标!$D$25,国内运杂费率参考指标!$D$26,IF(物资类评估明细表!S10=国内运杂费率参考指标!$E$25,国内运杂费率参考指标!$E$26,IF(物资类评估明细表!S10=国内运杂费率参考指标!$F$25,国内运杂费率参考指标!$F$26,0))))</f>
        <v>0.64</v>
      </c>
      <c r="V10" s="225">
        <v>30</v>
      </c>
      <c r="W10" s="239">
        <f t="shared" si="2"/>
        <v>19.2</v>
      </c>
      <c r="X10" s="239">
        <f>IF(S10=国内运杂费率参考指标!$C$25,国内运杂费率参考指标!$C$27,IF(S10=国内运杂费率参考指标!$D$25,国内运杂费率参考指标!$D$27,IF(物资类评估明细表!S10=国内运杂费率参考指标!$E$25,国内运杂费率参考指标!$E$27,IF(物资类评估明细表!S10=国内运杂费率参考指标!$F$25,国内运杂费率参考指标!$F$27,0))))</f>
        <v>2.7</v>
      </c>
      <c r="Y10" s="239">
        <f>IF(S10=国内运杂费率参考指标!$C$25,国内运杂费率参考指标!$C$28,IF(S10=国内运杂费率参考指标!$D$25,国内运杂费率参考指标!$D$28,IF(物资类评估明细表!S10=国内运杂费率参考指标!$E$25,国内运杂费率参考指标!$E$28,IF(物资类评估明细表!S10=国内运杂费率参考指标!$F$25,国内运杂费率参考指标!$F$28,0))))</f>
        <v>2.7</v>
      </c>
      <c r="Z10" s="313">
        <f t="shared" si="3"/>
        <v>50</v>
      </c>
      <c r="AA10" s="239">
        <f t="shared" si="4"/>
        <v>4000</v>
      </c>
      <c r="AB10" s="239" t="str">
        <f t="shared" si="5"/>
        <v>50元/条</v>
      </c>
    </row>
    <row r="11" s="156" customFormat="1" ht="22.15" customHeight="1" spans="1:28">
      <c r="A11" s="182">
        <f>物资类勘察表!A10</f>
        <v>6</v>
      </c>
      <c r="B11" s="182" t="str">
        <f>物资类勘察表!B10</f>
        <v>气瓶</v>
      </c>
      <c r="C11" s="182">
        <f>物资类勘察表!C10</f>
        <v>0</v>
      </c>
      <c r="D11" s="182"/>
      <c r="E11" s="279" t="str">
        <f>物资类勘察表!D10</f>
        <v>只</v>
      </c>
      <c r="F11" s="297">
        <f>物资类勘察表!G10</f>
        <v>12</v>
      </c>
      <c r="G11" s="298" t="s">
        <v>343</v>
      </c>
      <c r="H11" s="299"/>
      <c r="I11" s="305"/>
      <c r="J11" s="299"/>
      <c r="K11" s="182"/>
      <c r="L11" s="182"/>
      <c r="M11" s="182"/>
      <c r="N11" s="182"/>
      <c r="O11" s="284"/>
      <c r="P11" s="223">
        <f t="shared" si="0"/>
        <v>600</v>
      </c>
      <c r="Q11" s="223" t="str">
        <f t="shared" si="1"/>
        <v>50元/只</v>
      </c>
      <c r="R11" s="202"/>
      <c r="S11" s="225" t="s">
        <v>344</v>
      </c>
      <c r="T11" s="225">
        <v>25</v>
      </c>
      <c r="U11" s="239">
        <f>IF(S11=国内运杂费率参考指标!$C$25,国内运杂费率参考指标!$C$26,IF(S11=国内运杂费率参考指标!$D$25,国内运杂费率参考指标!$D$26,IF(物资类评估明细表!S11=国内运杂费率参考指标!$E$25,国内运杂费率参考指标!$E$26,IF(物资类评估明细表!S11=国内运杂费率参考指标!$F$25,国内运杂费率参考指标!$F$26,0))))</f>
        <v>0.64</v>
      </c>
      <c r="V11" s="225">
        <v>30</v>
      </c>
      <c r="W11" s="239">
        <f t="shared" si="2"/>
        <v>19.2</v>
      </c>
      <c r="X11" s="239">
        <f>IF(S11=国内运杂费率参考指标!$C$25,国内运杂费率参考指标!$C$27,IF(S11=国内运杂费率参考指标!$D$25,国内运杂费率参考指标!$D$27,IF(物资类评估明细表!S11=国内运杂费率参考指标!$E$25,国内运杂费率参考指标!$E$27,IF(物资类评估明细表!S11=国内运杂费率参考指标!$F$25,国内运杂费率参考指标!$F$27,0))))</f>
        <v>2.7</v>
      </c>
      <c r="Y11" s="239">
        <f>IF(S11=国内运杂费率参考指标!$C$25,国内运杂费率参考指标!$C$28,IF(S11=国内运杂费率参考指标!$D$25,国内运杂费率参考指标!$D$28,IF(物资类评估明细表!S11=国内运杂费率参考指标!$E$25,国内运杂费率参考指标!$E$28,IF(物资类评估明细表!S11=国内运杂费率参考指标!$F$25,国内运杂费率参考指标!$F$28,0))))</f>
        <v>2.7</v>
      </c>
      <c r="Z11" s="313">
        <f t="shared" si="3"/>
        <v>50</v>
      </c>
      <c r="AA11" s="239">
        <f t="shared" si="4"/>
        <v>600</v>
      </c>
      <c r="AB11" s="239" t="str">
        <f t="shared" si="5"/>
        <v>50元/只</v>
      </c>
    </row>
    <row r="12" s="156" customFormat="1" ht="22.15" customHeight="1" spans="1:28">
      <c r="A12" s="182">
        <f>物资类勘察表!A11</f>
        <v>7</v>
      </c>
      <c r="B12" s="182" t="str">
        <f>物资类勘察表!B11</f>
        <v>模具</v>
      </c>
      <c r="C12" s="182" t="str">
        <f>物资类勘察表!C11</f>
        <v>φ10-φ50</v>
      </c>
      <c r="D12" s="182"/>
      <c r="E12" s="279" t="str">
        <f>物资类勘察表!D11</f>
        <v>套</v>
      </c>
      <c r="F12" s="297">
        <f>物资类勘察表!G11</f>
        <v>42</v>
      </c>
      <c r="G12" s="298" t="s">
        <v>343</v>
      </c>
      <c r="H12" s="299"/>
      <c r="I12" s="305"/>
      <c r="J12" s="299"/>
      <c r="K12" s="182"/>
      <c r="L12" s="182"/>
      <c r="M12" s="182"/>
      <c r="N12" s="182"/>
      <c r="O12" s="284"/>
      <c r="P12" s="223">
        <f t="shared" si="0"/>
        <v>2100</v>
      </c>
      <c r="Q12" s="223" t="str">
        <f t="shared" si="1"/>
        <v>50元/套</v>
      </c>
      <c r="R12" s="202"/>
      <c r="S12" s="225" t="s">
        <v>344</v>
      </c>
      <c r="T12" s="225">
        <v>25</v>
      </c>
      <c r="U12" s="239">
        <f>IF(S12=国内运杂费率参考指标!$C$25,国内运杂费率参考指标!$C$26,IF(S12=国内运杂费率参考指标!$D$25,国内运杂费率参考指标!$D$26,IF(物资类评估明细表!S12=国内运杂费率参考指标!$E$25,国内运杂费率参考指标!$E$26,IF(物资类评估明细表!S12=国内运杂费率参考指标!$F$25,国内运杂费率参考指标!$F$26,0))))</f>
        <v>0.64</v>
      </c>
      <c r="V12" s="225">
        <v>30</v>
      </c>
      <c r="W12" s="239">
        <f t="shared" si="2"/>
        <v>19.2</v>
      </c>
      <c r="X12" s="239">
        <f>IF(S12=国内运杂费率参考指标!$C$25,国内运杂费率参考指标!$C$27,IF(S12=国内运杂费率参考指标!$D$25,国内运杂费率参考指标!$D$27,IF(物资类评估明细表!S12=国内运杂费率参考指标!$E$25,国内运杂费率参考指标!$E$27,IF(物资类评估明细表!S12=国内运杂费率参考指标!$F$25,国内运杂费率参考指标!$F$27,0))))</f>
        <v>2.7</v>
      </c>
      <c r="Y12" s="239">
        <f>IF(S12=国内运杂费率参考指标!$C$25,国内运杂费率参考指标!$C$28,IF(S12=国内运杂费率参考指标!$D$25,国内运杂费率参考指标!$D$28,IF(物资类评估明细表!S12=国内运杂费率参考指标!$E$25,国内运杂费率参考指标!$E$28,IF(物资类评估明细表!S12=国内运杂费率参考指标!$F$25,国内运杂费率参考指标!$F$28,0))))</f>
        <v>2.7</v>
      </c>
      <c r="Z12" s="313">
        <f t="shared" si="3"/>
        <v>50</v>
      </c>
      <c r="AA12" s="239">
        <f t="shared" si="4"/>
        <v>2100</v>
      </c>
      <c r="AB12" s="239" t="str">
        <f t="shared" si="5"/>
        <v>50元/套</v>
      </c>
    </row>
    <row r="13" s="156" customFormat="1" ht="22.15" customHeight="1" spans="1:28">
      <c r="A13" s="182">
        <f>物资类勘察表!A12</f>
        <v>8</v>
      </c>
      <c r="B13" s="182" t="str">
        <f>物资类勘察表!B12</f>
        <v>仓库（配件）</v>
      </c>
      <c r="C13" s="182">
        <f>物资类勘察表!C12</f>
        <v>0</v>
      </c>
      <c r="D13" s="182"/>
      <c r="E13" s="279" t="str">
        <f>物资类勘察表!D12</f>
        <v>批</v>
      </c>
      <c r="F13" s="297">
        <f>物资类勘察表!G12</f>
        <v>1</v>
      </c>
      <c r="G13" s="298" t="s">
        <v>343</v>
      </c>
      <c r="H13" s="299"/>
      <c r="I13" s="305"/>
      <c r="J13" s="299"/>
      <c r="K13" s="182"/>
      <c r="L13" s="182"/>
      <c r="M13" s="182"/>
      <c r="N13" s="182"/>
      <c r="O13" s="284"/>
      <c r="P13" s="223">
        <f t="shared" si="0"/>
        <v>50</v>
      </c>
      <c r="Q13" s="223" t="str">
        <f t="shared" si="1"/>
        <v>50元/批</v>
      </c>
      <c r="R13" s="202"/>
      <c r="S13" s="225" t="s">
        <v>344</v>
      </c>
      <c r="T13" s="225">
        <v>25</v>
      </c>
      <c r="U13" s="239">
        <f>IF(S13=国内运杂费率参考指标!$C$25,国内运杂费率参考指标!$C$26,IF(S13=国内运杂费率参考指标!$D$25,国内运杂费率参考指标!$D$26,IF(物资类评估明细表!S13=国内运杂费率参考指标!$E$25,国内运杂费率参考指标!$E$26,IF(物资类评估明细表!S13=国内运杂费率参考指标!$F$25,国内运杂费率参考指标!$F$26,0))))</f>
        <v>0.64</v>
      </c>
      <c r="V13" s="225">
        <v>30</v>
      </c>
      <c r="W13" s="239">
        <f t="shared" si="2"/>
        <v>19.2</v>
      </c>
      <c r="X13" s="239">
        <f>IF(S13=国内运杂费率参考指标!$C$25,国内运杂费率参考指标!$C$27,IF(S13=国内运杂费率参考指标!$D$25,国内运杂费率参考指标!$D$27,IF(物资类评估明细表!S13=国内运杂费率参考指标!$E$25,国内运杂费率参考指标!$E$27,IF(物资类评估明细表!S13=国内运杂费率参考指标!$F$25,国内运杂费率参考指标!$F$27,0))))</f>
        <v>2.7</v>
      </c>
      <c r="Y13" s="239">
        <f>IF(S13=国内运杂费率参考指标!$C$25,国内运杂费率参考指标!$C$28,IF(S13=国内运杂费率参考指标!$D$25,国内运杂费率参考指标!$D$28,IF(物资类评估明细表!S13=国内运杂费率参考指标!$E$25,国内运杂费率参考指标!$E$28,IF(物资类评估明细表!S13=国内运杂费率参考指标!$F$25,国内运杂费率参考指标!$F$28,0))))</f>
        <v>2.7</v>
      </c>
      <c r="Z13" s="313">
        <f t="shared" si="3"/>
        <v>50</v>
      </c>
      <c r="AA13" s="239">
        <f t="shared" si="4"/>
        <v>50</v>
      </c>
      <c r="AB13" s="239" t="str">
        <f t="shared" si="5"/>
        <v>50元/批</v>
      </c>
    </row>
    <row r="14" s="156" customFormat="1" ht="22.15" customHeight="1" spans="1:28">
      <c r="A14" s="182">
        <f>物资类勘察表!A13</f>
        <v>9</v>
      </c>
      <c r="B14" s="182" t="str">
        <f>物资类勘察表!B13</f>
        <v>办公室柜子</v>
      </c>
      <c r="C14" s="182">
        <f>物资类勘察表!C13</f>
        <v>0</v>
      </c>
      <c r="D14" s="182"/>
      <c r="E14" s="279" t="str">
        <f>物资类勘察表!D13</f>
        <v>个</v>
      </c>
      <c r="F14" s="297">
        <f>物资类勘察表!G13</f>
        <v>5</v>
      </c>
      <c r="G14" s="298" t="s">
        <v>343</v>
      </c>
      <c r="H14" s="299"/>
      <c r="I14" s="305"/>
      <c r="J14" s="299"/>
      <c r="K14" s="182"/>
      <c r="L14" s="182"/>
      <c r="M14" s="182"/>
      <c r="N14" s="182"/>
      <c r="O14" s="284"/>
      <c r="P14" s="223">
        <f t="shared" si="0"/>
        <v>250</v>
      </c>
      <c r="Q14" s="223" t="str">
        <f t="shared" si="1"/>
        <v>50元/个</v>
      </c>
      <c r="R14" s="202"/>
      <c r="S14" s="225" t="s">
        <v>344</v>
      </c>
      <c r="T14" s="225">
        <v>25</v>
      </c>
      <c r="U14" s="239">
        <f>IF(S14=国内运杂费率参考指标!$C$25,国内运杂费率参考指标!$C$26,IF(S14=国内运杂费率参考指标!$D$25,国内运杂费率参考指标!$D$26,IF(物资类评估明细表!S14=国内运杂费率参考指标!$E$25,国内运杂费率参考指标!$E$26,IF(物资类评估明细表!S14=国内运杂费率参考指标!$F$25,国内运杂费率参考指标!$F$26,0))))</f>
        <v>0.64</v>
      </c>
      <c r="V14" s="225">
        <v>30</v>
      </c>
      <c r="W14" s="239">
        <f t="shared" si="2"/>
        <v>19.2</v>
      </c>
      <c r="X14" s="239">
        <f>IF(S14=国内运杂费率参考指标!$C$25,国内运杂费率参考指标!$C$27,IF(S14=国内运杂费率参考指标!$D$25,国内运杂费率参考指标!$D$27,IF(物资类评估明细表!S14=国内运杂费率参考指标!$E$25,国内运杂费率参考指标!$E$27,IF(物资类评估明细表!S14=国内运杂费率参考指标!$F$25,国内运杂费率参考指标!$F$27,0))))</f>
        <v>2.7</v>
      </c>
      <c r="Y14" s="239">
        <f>IF(S14=国内运杂费率参考指标!$C$25,国内运杂费率参考指标!$C$28,IF(S14=国内运杂费率参考指标!$D$25,国内运杂费率参考指标!$D$28,IF(物资类评估明细表!S14=国内运杂费率参考指标!$E$25,国内运杂费率参考指标!$E$28,IF(物资类评估明细表!S14=国内运杂费率参考指标!$F$25,国内运杂费率参考指标!$F$28,0))))</f>
        <v>2.7</v>
      </c>
      <c r="Z14" s="313">
        <f t="shared" si="3"/>
        <v>50</v>
      </c>
      <c r="AA14" s="239">
        <f t="shared" si="4"/>
        <v>250</v>
      </c>
      <c r="AB14" s="239" t="str">
        <f t="shared" si="5"/>
        <v>50元/个</v>
      </c>
    </row>
    <row r="15" s="156" customFormat="1" ht="22.15" customHeight="1" spans="1:28">
      <c r="A15" s="182">
        <f>物资类勘察表!A14</f>
        <v>10</v>
      </c>
      <c r="B15" s="182" t="str">
        <f>物资类勘察表!B14</f>
        <v>办公室椅子</v>
      </c>
      <c r="C15" s="182">
        <f>物资类勘察表!C14</f>
        <v>0</v>
      </c>
      <c r="D15" s="182"/>
      <c r="E15" s="279" t="str">
        <f>物资类勘察表!D14</f>
        <v>把</v>
      </c>
      <c r="F15" s="297">
        <f>物资类勘察表!G14</f>
        <v>8</v>
      </c>
      <c r="G15" s="298" t="s">
        <v>343</v>
      </c>
      <c r="H15" s="299"/>
      <c r="I15" s="305"/>
      <c r="J15" s="299"/>
      <c r="K15" s="182"/>
      <c r="L15" s="182"/>
      <c r="M15" s="182"/>
      <c r="N15" s="182"/>
      <c r="O15" s="284"/>
      <c r="P15" s="223">
        <f t="shared" si="0"/>
        <v>400</v>
      </c>
      <c r="Q15" s="223" t="str">
        <f t="shared" si="1"/>
        <v>50元/把</v>
      </c>
      <c r="R15" s="202"/>
      <c r="S15" s="225" t="s">
        <v>344</v>
      </c>
      <c r="T15" s="225">
        <v>25</v>
      </c>
      <c r="U15" s="239">
        <f>IF(S15=国内运杂费率参考指标!$C$25,国内运杂费率参考指标!$C$26,IF(S15=国内运杂费率参考指标!$D$25,国内运杂费率参考指标!$D$26,IF(物资类评估明细表!S15=国内运杂费率参考指标!$E$25,国内运杂费率参考指标!$E$26,IF(物资类评估明细表!S15=国内运杂费率参考指标!$F$25,国内运杂费率参考指标!$F$26,0))))</f>
        <v>0.64</v>
      </c>
      <c r="V15" s="225">
        <v>30</v>
      </c>
      <c r="W15" s="239">
        <f t="shared" si="2"/>
        <v>19.2</v>
      </c>
      <c r="X15" s="239">
        <f>IF(S15=国内运杂费率参考指标!$C$25,国内运杂费率参考指标!$C$27,IF(S15=国内运杂费率参考指标!$D$25,国内运杂费率参考指标!$D$27,IF(物资类评估明细表!S15=国内运杂费率参考指标!$E$25,国内运杂费率参考指标!$E$27,IF(物资类评估明细表!S15=国内运杂费率参考指标!$F$25,国内运杂费率参考指标!$F$27,0))))</f>
        <v>2.7</v>
      </c>
      <c r="Y15" s="239">
        <f>IF(S15=国内运杂费率参考指标!$C$25,国内运杂费率参考指标!$C$28,IF(S15=国内运杂费率参考指标!$D$25,国内运杂费率参考指标!$D$28,IF(物资类评估明细表!S15=国内运杂费率参考指标!$E$25,国内运杂费率参考指标!$E$28,IF(物资类评估明细表!S15=国内运杂费率参考指标!$F$25,国内运杂费率参考指标!$F$28,0))))</f>
        <v>2.7</v>
      </c>
      <c r="Z15" s="313">
        <f t="shared" si="3"/>
        <v>50</v>
      </c>
      <c r="AA15" s="239">
        <f t="shared" si="4"/>
        <v>400</v>
      </c>
      <c r="AB15" s="239" t="str">
        <f t="shared" si="5"/>
        <v>50元/把</v>
      </c>
    </row>
    <row r="16" s="156" customFormat="1" ht="22.15" customHeight="1" spans="1:28">
      <c r="A16" s="182">
        <f>物资类勘察表!A15</f>
        <v>11</v>
      </c>
      <c r="B16" s="182" t="str">
        <f>物资类勘察表!B15</f>
        <v>办公室桌子</v>
      </c>
      <c r="C16" s="182">
        <f>物资类勘察表!C15</f>
        <v>0</v>
      </c>
      <c r="D16" s="182"/>
      <c r="E16" s="279" t="str">
        <f>物资类勘察表!D15</f>
        <v>个</v>
      </c>
      <c r="F16" s="297">
        <f>物资类勘察表!G15</f>
        <v>9</v>
      </c>
      <c r="G16" s="298" t="s">
        <v>343</v>
      </c>
      <c r="H16" s="299"/>
      <c r="I16" s="305"/>
      <c r="J16" s="299"/>
      <c r="K16" s="182"/>
      <c r="L16" s="182"/>
      <c r="M16" s="182"/>
      <c r="N16" s="182"/>
      <c r="O16" s="284"/>
      <c r="P16" s="223">
        <f t="shared" si="0"/>
        <v>450</v>
      </c>
      <c r="Q16" s="223" t="str">
        <f t="shared" si="1"/>
        <v>50元/个</v>
      </c>
      <c r="R16" s="202"/>
      <c r="S16" s="225" t="s">
        <v>344</v>
      </c>
      <c r="T16" s="225">
        <v>25</v>
      </c>
      <c r="U16" s="239">
        <f>IF(S16=国内运杂费率参考指标!$C$25,国内运杂费率参考指标!$C$26,IF(S16=国内运杂费率参考指标!$D$25,国内运杂费率参考指标!$D$26,IF(物资类评估明细表!S16=国内运杂费率参考指标!$E$25,国内运杂费率参考指标!$E$26,IF(物资类评估明细表!S16=国内运杂费率参考指标!$F$25,国内运杂费率参考指标!$F$26,0))))</f>
        <v>0.64</v>
      </c>
      <c r="V16" s="225">
        <v>30</v>
      </c>
      <c r="W16" s="239">
        <f t="shared" si="2"/>
        <v>19.2</v>
      </c>
      <c r="X16" s="239">
        <f>IF(S16=国内运杂费率参考指标!$C$25,国内运杂费率参考指标!$C$27,IF(S16=国内运杂费率参考指标!$D$25,国内运杂费率参考指标!$D$27,IF(物资类评估明细表!S16=国内运杂费率参考指标!$E$25,国内运杂费率参考指标!$E$27,IF(物资类评估明细表!S16=国内运杂费率参考指标!$F$25,国内运杂费率参考指标!$F$27,0))))</f>
        <v>2.7</v>
      </c>
      <c r="Y16" s="239">
        <f>IF(S16=国内运杂费率参考指标!$C$25,国内运杂费率参考指标!$C$28,IF(S16=国内运杂费率参考指标!$D$25,国内运杂费率参考指标!$D$28,IF(物资类评估明细表!S16=国内运杂费率参考指标!$E$25,国内运杂费率参考指标!$E$28,IF(物资类评估明细表!S16=国内运杂费率参考指标!$F$25,国内运杂费率参考指标!$F$28,0))))</f>
        <v>2.7</v>
      </c>
      <c r="Z16" s="313">
        <f t="shared" si="3"/>
        <v>50</v>
      </c>
      <c r="AA16" s="239">
        <f t="shared" si="4"/>
        <v>450</v>
      </c>
      <c r="AB16" s="239" t="str">
        <f t="shared" si="5"/>
        <v>50元/个</v>
      </c>
    </row>
    <row r="17" s="156" customFormat="1" ht="22.15" customHeight="1" spans="1:28">
      <c r="A17" s="182">
        <f>物资类勘察表!A16</f>
        <v>12</v>
      </c>
      <c r="B17" s="182" t="str">
        <f>物资类勘察表!B16</f>
        <v>办公室沙发</v>
      </c>
      <c r="C17" s="182">
        <f>物资类勘察表!C16</f>
        <v>0</v>
      </c>
      <c r="D17" s="182"/>
      <c r="E17" s="279" t="str">
        <f>物资类勘察表!D16</f>
        <v>套</v>
      </c>
      <c r="F17" s="297">
        <f>物资类勘察表!G16</f>
        <v>1</v>
      </c>
      <c r="G17" s="298" t="s">
        <v>343</v>
      </c>
      <c r="H17" s="299"/>
      <c r="I17" s="305"/>
      <c r="J17" s="299"/>
      <c r="K17" s="182"/>
      <c r="L17" s="182"/>
      <c r="M17" s="182"/>
      <c r="N17" s="182"/>
      <c r="O17" s="284"/>
      <c r="P17" s="223">
        <f t="shared" si="0"/>
        <v>50</v>
      </c>
      <c r="Q17" s="223" t="str">
        <f t="shared" si="1"/>
        <v>50元/套</v>
      </c>
      <c r="R17" s="202"/>
      <c r="S17" s="225" t="s">
        <v>344</v>
      </c>
      <c r="T17" s="225">
        <v>25</v>
      </c>
      <c r="U17" s="239">
        <f>IF(S17=国内运杂费率参考指标!$C$25,国内运杂费率参考指标!$C$26,IF(S17=国内运杂费率参考指标!$D$25,国内运杂费率参考指标!$D$26,IF(物资类评估明细表!S17=国内运杂费率参考指标!$E$25,国内运杂费率参考指标!$E$26,IF(物资类评估明细表!S17=国内运杂费率参考指标!$F$25,国内运杂费率参考指标!$F$26,0))))</f>
        <v>0.64</v>
      </c>
      <c r="V17" s="225">
        <v>30</v>
      </c>
      <c r="W17" s="239">
        <f t="shared" si="2"/>
        <v>19.2</v>
      </c>
      <c r="X17" s="239">
        <f>IF(S17=国内运杂费率参考指标!$C$25,国内运杂费率参考指标!$C$27,IF(S17=国内运杂费率参考指标!$D$25,国内运杂费率参考指标!$D$27,IF(物资类评估明细表!S17=国内运杂费率参考指标!$E$25,国内运杂费率参考指标!$E$27,IF(物资类评估明细表!S17=国内运杂费率参考指标!$F$25,国内运杂费率参考指标!$F$27,0))))</f>
        <v>2.7</v>
      </c>
      <c r="Y17" s="239">
        <f>IF(S17=国内运杂费率参考指标!$C$25,国内运杂费率参考指标!$C$28,IF(S17=国内运杂费率参考指标!$D$25,国内运杂费率参考指标!$D$28,IF(物资类评估明细表!S17=国内运杂费率参考指标!$E$25,国内运杂费率参考指标!$E$28,IF(物资类评估明细表!S17=国内运杂费率参考指标!$F$25,国内运杂费率参考指标!$F$28,0))))</f>
        <v>2.7</v>
      </c>
      <c r="Z17" s="313">
        <f t="shared" si="3"/>
        <v>50</v>
      </c>
      <c r="AA17" s="239">
        <f t="shared" si="4"/>
        <v>50</v>
      </c>
      <c r="AB17" s="239" t="str">
        <f t="shared" si="5"/>
        <v>50元/套</v>
      </c>
    </row>
    <row r="18" s="156" customFormat="1" ht="22.15" customHeight="1" spans="1:28">
      <c r="A18" s="182">
        <f>物资类勘察表!A17</f>
        <v>13</v>
      </c>
      <c r="B18" s="182" t="str">
        <f>物资类勘察表!B17</f>
        <v>食堂餐桌</v>
      </c>
      <c r="C18" s="182">
        <f>物资类勘察表!C17</f>
        <v>0</v>
      </c>
      <c r="D18" s="182"/>
      <c r="E18" s="279" t="str">
        <f>物资类勘察表!D17</f>
        <v>套</v>
      </c>
      <c r="F18" s="297">
        <f>物资类勘察表!G17</f>
        <v>8</v>
      </c>
      <c r="G18" s="298" t="s">
        <v>343</v>
      </c>
      <c r="H18" s="299"/>
      <c r="I18" s="305"/>
      <c r="J18" s="299"/>
      <c r="K18" s="182"/>
      <c r="L18" s="182"/>
      <c r="M18" s="182"/>
      <c r="N18" s="182"/>
      <c r="O18" s="284"/>
      <c r="P18" s="223">
        <f t="shared" si="0"/>
        <v>400</v>
      </c>
      <c r="Q18" s="223" t="str">
        <f t="shared" si="1"/>
        <v>50元/套</v>
      </c>
      <c r="R18" s="202"/>
      <c r="S18" s="225" t="s">
        <v>344</v>
      </c>
      <c r="T18" s="225">
        <v>25</v>
      </c>
      <c r="U18" s="239">
        <f>IF(S18=国内运杂费率参考指标!$C$25,国内运杂费率参考指标!$C$26,IF(S18=国内运杂费率参考指标!$D$25,国内运杂费率参考指标!$D$26,IF(物资类评估明细表!S18=国内运杂费率参考指标!$E$25,国内运杂费率参考指标!$E$26,IF(物资类评估明细表!S18=国内运杂费率参考指标!$F$25,国内运杂费率参考指标!$F$26,0))))</f>
        <v>0.64</v>
      </c>
      <c r="V18" s="225">
        <v>30</v>
      </c>
      <c r="W18" s="239">
        <f t="shared" si="2"/>
        <v>19.2</v>
      </c>
      <c r="X18" s="239">
        <f>IF(S18=国内运杂费率参考指标!$C$25,国内运杂费率参考指标!$C$27,IF(S18=国内运杂费率参考指标!$D$25,国内运杂费率参考指标!$D$27,IF(物资类评估明细表!S18=国内运杂费率参考指标!$E$25,国内运杂费率参考指标!$E$27,IF(物资类评估明细表!S18=国内运杂费率参考指标!$F$25,国内运杂费率参考指标!$F$27,0))))</f>
        <v>2.7</v>
      </c>
      <c r="Y18" s="239">
        <f>IF(S18=国内运杂费率参考指标!$C$25,国内运杂费率参考指标!$C$28,IF(S18=国内运杂费率参考指标!$D$25,国内运杂费率参考指标!$D$28,IF(物资类评估明细表!S18=国内运杂费率参考指标!$E$25,国内运杂费率参考指标!$E$28,IF(物资类评估明细表!S18=国内运杂费率参考指标!$F$25,国内运杂费率参考指标!$F$28,0))))</f>
        <v>2.7</v>
      </c>
      <c r="Z18" s="313">
        <f t="shared" si="3"/>
        <v>50</v>
      </c>
      <c r="AA18" s="239">
        <f t="shared" si="4"/>
        <v>400</v>
      </c>
      <c r="AB18" s="239" t="str">
        <f t="shared" si="5"/>
        <v>50元/套</v>
      </c>
    </row>
    <row r="19" s="156" customFormat="1" ht="22.15" customHeight="1" spans="1:28">
      <c r="A19" s="182">
        <f>物资类勘察表!A18</f>
        <v>14</v>
      </c>
      <c r="B19" s="182" t="str">
        <f>物资类勘察表!B18</f>
        <v>空调</v>
      </c>
      <c r="C19" s="182">
        <f>物资类勘察表!C18</f>
        <v>0</v>
      </c>
      <c r="D19" s="182"/>
      <c r="E19" s="279" t="str">
        <f>物资类勘察表!D18</f>
        <v>只</v>
      </c>
      <c r="F19" s="297">
        <f>物资类勘察表!G18</f>
        <v>5</v>
      </c>
      <c r="G19" s="298" t="s">
        <v>343</v>
      </c>
      <c r="H19" s="299"/>
      <c r="I19" s="305"/>
      <c r="J19" s="299"/>
      <c r="K19" s="182"/>
      <c r="L19" s="182"/>
      <c r="M19" s="182"/>
      <c r="N19" s="182"/>
      <c r="O19" s="284"/>
      <c r="P19" s="223">
        <f t="shared" si="0"/>
        <v>250</v>
      </c>
      <c r="Q19" s="223" t="str">
        <f t="shared" si="1"/>
        <v>50元/只</v>
      </c>
      <c r="R19" s="202"/>
      <c r="S19" s="225" t="s">
        <v>344</v>
      </c>
      <c r="T19" s="225">
        <v>25</v>
      </c>
      <c r="U19" s="239">
        <f>IF(S19=国内运杂费率参考指标!$C$25,国内运杂费率参考指标!$C$26,IF(S19=国内运杂费率参考指标!$D$25,国内运杂费率参考指标!$D$26,IF(物资类评估明细表!S19=国内运杂费率参考指标!$E$25,国内运杂费率参考指标!$E$26,IF(物资类评估明细表!S19=国内运杂费率参考指标!$F$25,国内运杂费率参考指标!$F$26,0))))</f>
        <v>0.64</v>
      </c>
      <c r="V19" s="225">
        <v>30</v>
      </c>
      <c r="W19" s="239">
        <f t="shared" si="2"/>
        <v>19.2</v>
      </c>
      <c r="X19" s="239">
        <f>IF(S19=国内运杂费率参考指标!$C$25,国内运杂费率参考指标!$C$27,IF(S19=国内运杂费率参考指标!$D$25,国内运杂费率参考指标!$D$27,IF(物资类评估明细表!S19=国内运杂费率参考指标!$E$25,国内运杂费率参考指标!$E$27,IF(物资类评估明细表!S19=国内运杂费率参考指标!$F$25,国内运杂费率参考指标!$F$27,0))))</f>
        <v>2.7</v>
      </c>
      <c r="Y19" s="239">
        <f>IF(S19=国内运杂费率参考指标!$C$25,国内运杂费率参考指标!$C$28,IF(S19=国内运杂费率参考指标!$D$25,国内运杂费率参考指标!$D$28,IF(物资类评估明细表!S19=国内运杂费率参考指标!$E$25,国内运杂费率参考指标!$E$28,IF(物资类评估明细表!S19=国内运杂费率参考指标!$F$25,国内运杂费率参考指标!$F$28,0))))</f>
        <v>2.7</v>
      </c>
      <c r="Z19" s="313">
        <f t="shared" si="3"/>
        <v>50</v>
      </c>
      <c r="AA19" s="239">
        <f t="shared" si="4"/>
        <v>250</v>
      </c>
      <c r="AB19" s="239" t="str">
        <f t="shared" si="5"/>
        <v>50元/只</v>
      </c>
    </row>
    <row r="20" s="156" customFormat="1" ht="22.15" customHeight="1" spans="1:28">
      <c r="A20" s="182">
        <f>物资类勘察表!A19</f>
        <v>15</v>
      </c>
      <c r="B20" s="182" t="str">
        <f>物资类勘察表!B19</f>
        <v>冰箱</v>
      </c>
      <c r="C20" s="182">
        <f>物资类勘察表!C19</f>
        <v>0</v>
      </c>
      <c r="D20" s="182"/>
      <c r="E20" s="279" t="str">
        <f>物资类勘察表!D19</f>
        <v>只</v>
      </c>
      <c r="F20" s="297">
        <f>物资类勘察表!G19</f>
        <v>2</v>
      </c>
      <c r="G20" s="298" t="s">
        <v>343</v>
      </c>
      <c r="H20" s="299"/>
      <c r="I20" s="305"/>
      <c r="J20" s="299"/>
      <c r="K20" s="182"/>
      <c r="L20" s="182"/>
      <c r="M20" s="182"/>
      <c r="N20" s="182"/>
      <c r="O20" s="284"/>
      <c r="P20" s="223">
        <f t="shared" si="0"/>
        <v>100</v>
      </c>
      <c r="Q20" s="223" t="str">
        <f t="shared" si="1"/>
        <v>50元/只</v>
      </c>
      <c r="R20" s="202"/>
      <c r="S20" s="225" t="s">
        <v>344</v>
      </c>
      <c r="T20" s="225">
        <v>25</v>
      </c>
      <c r="U20" s="239">
        <f>IF(S20=国内运杂费率参考指标!$C$25,国内运杂费率参考指标!$C$26,IF(S20=国内运杂费率参考指标!$D$25,国内运杂费率参考指标!$D$26,IF(物资类评估明细表!S20=国内运杂费率参考指标!$E$25,国内运杂费率参考指标!$E$26,IF(物资类评估明细表!S20=国内运杂费率参考指标!$F$25,国内运杂费率参考指标!$F$26,0))))</f>
        <v>0.64</v>
      </c>
      <c r="V20" s="225">
        <v>30</v>
      </c>
      <c r="W20" s="239">
        <f t="shared" si="2"/>
        <v>19.2</v>
      </c>
      <c r="X20" s="239">
        <f>IF(S20=国内运杂费率参考指标!$C$25,国内运杂费率参考指标!$C$27,IF(S20=国内运杂费率参考指标!$D$25,国内运杂费率参考指标!$D$27,IF(物资类评估明细表!S20=国内运杂费率参考指标!$E$25,国内运杂费率参考指标!$E$27,IF(物资类评估明细表!S20=国内运杂费率参考指标!$F$25,国内运杂费率参考指标!$F$27,0))))</f>
        <v>2.7</v>
      </c>
      <c r="Y20" s="239">
        <f>IF(S20=国内运杂费率参考指标!$C$25,国内运杂费率参考指标!$C$28,IF(S20=国内运杂费率参考指标!$D$25,国内运杂费率参考指标!$D$28,IF(物资类评估明细表!S20=国内运杂费率参考指标!$E$25,国内运杂费率参考指标!$E$28,IF(物资类评估明细表!S20=国内运杂费率参考指标!$F$25,国内运杂费率参考指标!$F$28,0))))</f>
        <v>2.7</v>
      </c>
      <c r="Z20" s="313">
        <f t="shared" si="3"/>
        <v>50</v>
      </c>
      <c r="AA20" s="239">
        <f t="shared" si="4"/>
        <v>100</v>
      </c>
      <c r="AB20" s="239" t="str">
        <f t="shared" si="5"/>
        <v>50元/只</v>
      </c>
    </row>
    <row r="21" s="156" customFormat="1" ht="22.15" customHeight="1" spans="1:28">
      <c r="A21" s="182">
        <f>物资类勘察表!A20</f>
        <v>16</v>
      </c>
      <c r="B21" s="182" t="str">
        <f>物资类勘察表!B20</f>
        <v>保险柜</v>
      </c>
      <c r="C21" s="182">
        <f>物资类勘察表!C20</f>
        <v>0</v>
      </c>
      <c r="D21" s="182"/>
      <c r="E21" s="279" t="str">
        <f>物资类勘察表!D20</f>
        <v>只</v>
      </c>
      <c r="F21" s="297">
        <f>物资类勘察表!G20</f>
        <v>2</v>
      </c>
      <c r="G21" s="298" t="s">
        <v>343</v>
      </c>
      <c r="H21" s="299"/>
      <c r="I21" s="305"/>
      <c r="J21" s="299"/>
      <c r="K21" s="182"/>
      <c r="L21" s="182"/>
      <c r="M21" s="182"/>
      <c r="N21" s="182"/>
      <c r="O21" s="284"/>
      <c r="P21" s="223">
        <f t="shared" si="0"/>
        <v>100</v>
      </c>
      <c r="Q21" s="223" t="str">
        <f t="shared" si="1"/>
        <v>50元/只</v>
      </c>
      <c r="R21" s="202"/>
      <c r="S21" s="225" t="s">
        <v>344</v>
      </c>
      <c r="T21" s="225">
        <v>25</v>
      </c>
      <c r="U21" s="239">
        <f>IF(S21=国内运杂费率参考指标!$C$25,国内运杂费率参考指标!$C$26,IF(S21=国内运杂费率参考指标!$D$25,国内运杂费率参考指标!$D$26,IF(物资类评估明细表!S21=国内运杂费率参考指标!$E$25,国内运杂费率参考指标!$E$26,IF(物资类评估明细表!S21=国内运杂费率参考指标!$F$25,国内运杂费率参考指标!$F$26,0))))</f>
        <v>0.64</v>
      </c>
      <c r="V21" s="225">
        <v>30</v>
      </c>
      <c r="W21" s="239">
        <f t="shared" si="2"/>
        <v>19.2</v>
      </c>
      <c r="X21" s="239">
        <f>IF(S21=国内运杂费率参考指标!$C$25,国内运杂费率参考指标!$C$27,IF(S21=国内运杂费率参考指标!$D$25,国内运杂费率参考指标!$D$27,IF(物资类评估明细表!S21=国内运杂费率参考指标!$E$25,国内运杂费率参考指标!$E$27,IF(物资类评估明细表!S21=国内运杂费率参考指标!$F$25,国内运杂费率参考指标!$F$27,0))))</f>
        <v>2.7</v>
      </c>
      <c r="Y21" s="239">
        <f>IF(S21=国内运杂费率参考指标!$C$25,国内运杂费率参考指标!$C$28,IF(S21=国内运杂费率参考指标!$D$25,国内运杂费率参考指标!$D$28,IF(物资类评估明细表!S21=国内运杂费率参考指标!$E$25,国内运杂费率参考指标!$E$28,IF(物资类评估明细表!S21=国内运杂费率参考指标!$F$25,国内运杂费率参考指标!$F$28,0))))</f>
        <v>2.7</v>
      </c>
      <c r="Z21" s="313">
        <f t="shared" si="3"/>
        <v>50</v>
      </c>
      <c r="AA21" s="239">
        <f t="shared" si="4"/>
        <v>100</v>
      </c>
      <c r="AB21" s="239" t="str">
        <f t="shared" si="5"/>
        <v>50元/只</v>
      </c>
    </row>
    <row r="22" s="156" customFormat="1" ht="22.15" customHeight="1" spans="1:28">
      <c r="A22" s="182">
        <f>物资类勘察表!A21</f>
        <v>17</v>
      </c>
      <c r="B22" s="182" t="str">
        <f>物资类勘察表!B21</f>
        <v>电子秤</v>
      </c>
      <c r="C22" s="182">
        <f>物资类勘察表!C21</f>
        <v>0</v>
      </c>
      <c r="D22" s="182"/>
      <c r="E22" s="279" t="str">
        <f>物资类勘察表!D21</f>
        <v>只</v>
      </c>
      <c r="F22" s="297">
        <f>物资类勘察表!G21</f>
        <v>3</v>
      </c>
      <c r="G22" s="298" t="s">
        <v>343</v>
      </c>
      <c r="H22" s="299"/>
      <c r="I22" s="305"/>
      <c r="J22" s="299"/>
      <c r="K22" s="182"/>
      <c r="L22" s="182"/>
      <c r="M22" s="182"/>
      <c r="N22" s="182"/>
      <c r="O22" s="284"/>
      <c r="P22" s="223">
        <f t="shared" si="0"/>
        <v>150</v>
      </c>
      <c r="Q22" s="223" t="str">
        <f t="shared" si="1"/>
        <v>50元/只</v>
      </c>
      <c r="R22" s="202"/>
      <c r="S22" s="225" t="s">
        <v>344</v>
      </c>
      <c r="T22" s="225">
        <v>25</v>
      </c>
      <c r="U22" s="239">
        <f>IF(S22=国内运杂费率参考指标!$C$25,国内运杂费率参考指标!$C$26,IF(S22=国内运杂费率参考指标!$D$25,国内运杂费率参考指标!$D$26,IF(物资类评估明细表!S22=国内运杂费率参考指标!$E$25,国内运杂费率参考指标!$E$26,IF(物资类评估明细表!S22=国内运杂费率参考指标!$F$25,国内运杂费率参考指标!$F$26,0))))</f>
        <v>0.64</v>
      </c>
      <c r="V22" s="225">
        <v>30</v>
      </c>
      <c r="W22" s="239">
        <f t="shared" si="2"/>
        <v>19.2</v>
      </c>
      <c r="X22" s="239">
        <f>IF(S22=国内运杂费率参考指标!$C$25,国内运杂费率参考指标!$C$27,IF(S22=国内运杂费率参考指标!$D$25,国内运杂费率参考指标!$D$27,IF(物资类评估明细表!S22=国内运杂费率参考指标!$E$25,国内运杂费率参考指标!$E$27,IF(物资类评估明细表!S22=国内运杂费率参考指标!$F$25,国内运杂费率参考指标!$F$27,0))))</f>
        <v>2.7</v>
      </c>
      <c r="Y22" s="239">
        <f>IF(S22=国内运杂费率参考指标!$C$25,国内运杂费率参考指标!$C$28,IF(S22=国内运杂费率参考指标!$D$25,国内运杂费率参考指标!$D$28,IF(物资类评估明细表!S22=国内运杂费率参考指标!$E$25,国内运杂费率参考指标!$E$28,IF(物资类评估明细表!S22=国内运杂费率参考指标!$F$25,国内运杂费率参考指标!$F$28,0))))</f>
        <v>2.7</v>
      </c>
      <c r="Z22" s="313">
        <f t="shared" si="3"/>
        <v>50</v>
      </c>
      <c r="AA22" s="239">
        <f t="shared" si="4"/>
        <v>150</v>
      </c>
      <c r="AB22" s="239" t="str">
        <f t="shared" si="5"/>
        <v>50元/只</v>
      </c>
    </row>
    <row r="23" s="156" customFormat="1" ht="22.15" customHeight="1" spans="1:28">
      <c r="A23" s="182">
        <f>物资类勘察表!A22</f>
        <v>18</v>
      </c>
      <c r="B23" s="182" t="str">
        <f>物资类勘察表!B22</f>
        <v>椅子配件管</v>
      </c>
      <c r="C23" s="182">
        <f>物资类勘察表!C22</f>
        <v>0</v>
      </c>
      <c r="D23" s="182"/>
      <c r="E23" s="279" t="str">
        <f>物资类勘察表!D22</f>
        <v>吨</v>
      </c>
      <c r="F23" s="297">
        <f>物资类勘察表!G22</f>
        <v>2</v>
      </c>
      <c r="G23" s="298" t="s">
        <v>343</v>
      </c>
      <c r="H23" s="299"/>
      <c r="I23" s="305"/>
      <c r="J23" s="299"/>
      <c r="K23" s="182"/>
      <c r="L23" s="182"/>
      <c r="M23" s="182"/>
      <c r="N23" s="182"/>
      <c r="O23" s="284"/>
      <c r="P23" s="223">
        <f t="shared" si="0"/>
        <v>100</v>
      </c>
      <c r="Q23" s="223" t="str">
        <f t="shared" si="1"/>
        <v>50元/吨</v>
      </c>
      <c r="R23" s="202"/>
      <c r="S23" s="225" t="s">
        <v>344</v>
      </c>
      <c r="T23" s="225">
        <v>25</v>
      </c>
      <c r="U23" s="239">
        <f>IF(S23=国内运杂费率参考指标!$C$25,国内运杂费率参考指标!$C$26,IF(S23=国内运杂费率参考指标!$D$25,国内运杂费率参考指标!$D$26,IF(物资类评估明细表!S23=国内运杂费率参考指标!$E$25,国内运杂费率参考指标!$E$26,IF(物资类评估明细表!S23=国内运杂费率参考指标!$F$25,国内运杂费率参考指标!$F$26,0))))</f>
        <v>0.64</v>
      </c>
      <c r="V23" s="225">
        <v>30</v>
      </c>
      <c r="W23" s="239">
        <f t="shared" ref="W23:W42" si="6">ROUND(U23*V23,2)</f>
        <v>19.2</v>
      </c>
      <c r="X23" s="239">
        <f>IF(S23=国内运杂费率参考指标!$C$25,国内运杂费率参考指标!$C$27,IF(S23=国内运杂费率参考指标!$D$25,国内运杂费率参考指标!$D$27,IF(物资类评估明细表!S23=国内运杂费率参考指标!$E$25,国内运杂费率参考指标!$E$27,IF(物资类评估明细表!S23=国内运杂费率参考指标!$F$25,国内运杂费率参考指标!$F$27,0))))</f>
        <v>2.7</v>
      </c>
      <c r="Y23" s="239">
        <f>IF(S23=国内运杂费率参考指标!$C$25,国内运杂费率参考指标!$C$28,IF(S23=国内运杂费率参考指标!$D$25,国内运杂费率参考指标!$D$28,IF(物资类评估明细表!S23=国内运杂费率参考指标!$E$25,国内运杂费率参考指标!$E$28,IF(物资类评估明细表!S23=国内运杂费率参考指标!$F$25,国内运杂费率参考指标!$F$28,0))))</f>
        <v>2.7</v>
      </c>
      <c r="Z23" s="313">
        <f t="shared" ref="Z23:Z42" si="7">ROUND(T23+W23+X23+Y23,0)</f>
        <v>50</v>
      </c>
      <c r="AA23" s="239">
        <f t="shared" ref="AA23:AA42" si="8">ROUND(Z23*F23,-1)</f>
        <v>100</v>
      </c>
      <c r="AB23" s="239" t="str">
        <f t="shared" ref="AB23:AB42" si="9">IF(AA23=0,"",Z23&amp;"元/"&amp;E23)</f>
        <v>50元/吨</v>
      </c>
    </row>
    <row r="24" s="156" customFormat="1" ht="22.15" customHeight="1" spans="1:28">
      <c r="A24" s="182">
        <f>物资类勘察表!A23</f>
        <v>19</v>
      </c>
      <c r="B24" s="182" t="str">
        <f>物资类勘察表!B23</f>
        <v>手动叉车</v>
      </c>
      <c r="C24" s="182">
        <f>物资类勘察表!C23</f>
        <v>0</v>
      </c>
      <c r="D24" s="182"/>
      <c r="E24" s="279" t="str">
        <f>物资类勘察表!D23</f>
        <v>台</v>
      </c>
      <c r="F24" s="297">
        <f>物资类勘察表!G23</f>
        <v>1</v>
      </c>
      <c r="G24" s="298" t="s">
        <v>343</v>
      </c>
      <c r="H24" s="299"/>
      <c r="I24" s="305"/>
      <c r="J24" s="299"/>
      <c r="K24" s="182"/>
      <c r="L24" s="182"/>
      <c r="M24" s="182"/>
      <c r="N24" s="182"/>
      <c r="O24" s="284"/>
      <c r="P24" s="223">
        <f t="shared" si="0"/>
        <v>50</v>
      </c>
      <c r="Q24" s="223" t="str">
        <f t="shared" si="1"/>
        <v>50元/台</v>
      </c>
      <c r="R24" s="202"/>
      <c r="S24" s="225" t="s">
        <v>344</v>
      </c>
      <c r="T24" s="225">
        <v>25</v>
      </c>
      <c r="U24" s="239">
        <f>IF(S24=国内运杂费率参考指标!$C$25,国内运杂费率参考指标!$C$26,IF(S24=国内运杂费率参考指标!$D$25,国内运杂费率参考指标!$D$26,IF(物资类评估明细表!S24=国内运杂费率参考指标!$E$25,国内运杂费率参考指标!$E$26,IF(物资类评估明细表!S24=国内运杂费率参考指标!$F$25,国内运杂费率参考指标!$F$26,0))))</f>
        <v>0.64</v>
      </c>
      <c r="V24" s="225">
        <v>30</v>
      </c>
      <c r="W24" s="239">
        <f t="shared" si="6"/>
        <v>19.2</v>
      </c>
      <c r="X24" s="239">
        <f>IF(S24=国内运杂费率参考指标!$C$25,国内运杂费率参考指标!$C$27,IF(S24=国内运杂费率参考指标!$D$25,国内运杂费率参考指标!$D$27,IF(物资类评估明细表!S24=国内运杂费率参考指标!$E$25,国内运杂费率参考指标!$E$27,IF(物资类评估明细表!S24=国内运杂费率参考指标!$F$25,国内运杂费率参考指标!$F$27,0))))</f>
        <v>2.7</v>
      </c>
      <c r="Y24" s="239">
        <f>IF(S24=国内运杂费率参考指标!$C$25,国内运杂费率参考指标!$C$28,IF(S24=国内运杂费率参考指标!$D$25,国内运杂费率参考指标!$D$28,IF(物资类评估明细表!S24=国内运杂费率参考指标!$E$25,国内运杂费率参考指标!$E$28,IF(物资类评估明细表!S24=国内运杂费率参考指标!$F$25,国内运杂费率参考指标!$F$28,0))))</f>
        <v>2.7</v>
      </c>
      <c r="Z24" s="313">
        <f t="shared" si="7"/>
        <v>50</v>
      </c>
      <c r="AA24" s="239">
        <f t="shared" si="8"/>
        <v>50</v>
      </c>
      <c r="AB24" s="239" t="str">
        <f t="shared" si="9"/>
        <v>50元/台</v>
      </c>
    </row>
    <row r="25" s="156" customFormat="1" ht="22.15" customHeight="1" spans="1:28">
      <c r="A25" s="182">
        <f>物资类勘察表!A24</f>
        <v>20</v>
      </c>
      <c r="B25" s="182" t="str">
        <f>物资类勘察表!B24</f>
        <v>防绣油桶</v>
      </c>
      <c r="C25" s="182">
        <f>物资类勘察表!C24</f>
        <v>0</v>
      </c>
      <c r="D25" s="182"/>
      <c r="E25" s="279" t="str">
        <f>物资类勘察表!D24</f>
        <v>桶</v>
      </c>
      <c r="F25" s="297">
        <f>物资类勘察表!G24</f>
        <v>10</v>
      </c>
      <c r="G25" s="298" t="s">
        <v>343</v>
      </c>
      <c r="H25" s="299"/>
      <c r="I25" s="305"/>
      <c r="J25" s="299"/>
      <c r="K25" s="182"/>
      <c r="L25" s="182"/>
      <c r="M25" s="182"/>
      <c r="N25" s="182"/>
      <c r="O25" s="284"/>
      <c r="P25" s="223">
        <f t="shared" si="0"/>
        <v>500</v>
      </c>
      <c r="Q25" s="223" t="str">
        <f t="shared" si="1"/>
        <v>50元/桶</v>
      </c>
      <c r="R25" s="202"/>
      <c r="S25" s="225" t="s">
        <v>344</v>
      </c>
      <c r="T25" s="225">
        <v>25</v>
      </c>
      <c r="U25" s="239">
        <f>IF(S25=国内运杂费率参考指标!$C$25,国内运杂费率参考指标!$C$26,IF(S25=国内运杂费率参考指标!$D$25,国内运杂费率参考指标!$D$26,IF(物资类评估明细表!S25=国内运杂费率参考指标!$E$25,国内运杂费率参考指标!$E$26,IF(物资类评估明细表!S25=国内运杂费率参考指标!$F$25,国内运杂费率参考指标!$F$26,0))))</f>
        <v>0.64</v>
      </c>
      <c r="V25" s="225">
        <v>30</v>
      </c>
      <c r="W25" s="239">
        <f t="shared" si="6"/>
        <v>19.2</v>
      </c>
      <c r="X25" s="239">
        <f>IF(S25=国内运杂费率参考指标!$C$25,国内运杂费率参考指标!$C$27,IF(S25=国内运杂费率参考指标!$D$25,国内运杂费率参考指标!$D$27,IF(物资类评估明细表!S25=国内运杂费率参考指标!$E$25,国内运杂费率参考指标!$E$27,IF(物资类评估明细表!S25=国内运杂费率参考指标!$F$25,国内运杂费率参考指标!$F$27,0))))</f>
        <v>2.7</v>
      </c>
      <c r="Y25" s="239">
        <f>IF(S25=国内运杂费率参考指标!$C$25,国内运杂费率参考指标!$C$28,IF(S25=国内运杂费率参考指标!$D$25,国内运杂费率参考指标!$D$28,IF(物资类评估明细表!S25=国内运杂费率参考指标!$E$25,国内运杂费率参考指标!$E$28,IF(物资类评估明细表!S25=国内运杂费率参考指标!$F$25,国内运杂费率参考指标!$F$28,0))))</f>
        <v>2.7</v>
      </c>
      <c r="Z25" s="313">
        <f t="shared" si="7"/>
        <v>50</v>
      </c>
      <c r="AA25" s="239">
        <f t="shared" si="8"/>
        <v>500</v>
      </c>
      <c r="AB25" s="239" t="str">
        <f t="shared" si="9"/>
        <v>50元/桶</v>
      </c>
    </row>
    <row r="26" s="156" customFormat="1" ht="22.15" customHeight="1" spans="1:28">
      <c r="A26" s="182">
        <f>物资类勘察表!A25</f>
        <v>21</v>
      </c>
      <c r="B26" s="182" t="str">
        <f>物资类勘察表!B25</f>
        <v>储管架</v>
      </c>
      <c r="C26" s="182">
        <f>物资类勘察表!C25</f>
        <v>0</v>
      </c>
      <c r="D26" s="182"/>
      <c r="E26" s="279" t="str">
        <f>物资类勘察表!D25</f>
        <v>条</v>
      </c>
      <c r="F26" s="297">
        <f>物资类勘察表!G25</f>
        <v>87</v>
      </c>
      <c r="G26" s="298" t="s">
        <v>343</v>
      </c>
      <c r="H26" s="299"/>
      <c r="I26" s="305"/>
      <c r="J26" s="299"/>
      <c r="K26" s="182"/>
      <c r="L26" s="182"/>
      <c r="M26" s="182"/>
      <c r="N26" s="182"/>
      <c r="O26" s="284"/>
      <c r="P26" s="223">
        <f t="shared" si="0"/>
        <v>4350</v>
      </c>
      <c r="Q26" s="223" t="str">
        <f t="shared" si="1"/>
        <v>50元/条</v>
      </c>
      <c r="R26" s="202"/>
      <c r="S26" s="225" t="s">
        <v>344</v>
      </c>
      <c r="T26" s="225">
        <v>25</v>
      </c>
      <c r="U26" s="239">
        <f>IF(S26=国内运杂费率参考指标!$C$25,国内运杂费率参考指标!$C$26,IF(S26=国内运杂费率参考指标!$D$25,国内运杂费率参考指标!$D$26,IF(物资类评估明细表!S26=国内运杂费率参考指标!$E$25,国内运杂费率参考指标!$E$26,IF(物资类评估明细表!S26=国内运杂费率参考指标!$F$25,国内运杂费率参考指标!$F$26,0))))</f>
        <v>0.64</v>
      </c>
      <c r="V26" s="225">
        <v>30</v>
      </c>
      <c r="W26" s="239">
        <f t="shared" si="6"/>
        <v>19.2</v>
      </c>
      <c r="X26" s="239">
        <f>IF(S26=国内运杂费率参考指标!$C$25,国内运杂费率参考指标!$C$27,IF(S26=国内运杂费率参考指标!$D$25,国内运杂费率参考指标!$D$27,IF(物资类评估明细表!S26=国内运杂费率参考指标!$E$25,国内运杂费率参考指标!$E$27,IF(物资类评估明细表!S26=国内运杂费率参考指标!$F$25,国内运杂费率参考指标!$F$27,0))))</f>
        <v>2.7</v>
      </c>
      <c r="Y26" s="239">
        <f>IF(S26=国内运杂费率参考指标!$C$25,国内运杂费率参考指标!$C$28,IF(S26=国内运杂费率参考指标!$D$25,国内运杂费率参考指标!$D$28,IF(物资类评估明细表!S26=国内运杂费率参考指标!$E$25,国内运杂费率参考指标!$E$28,IF(物资类评估明细表!S26=国内运杂费率参考指标!$F$25,国内运杂费率参考指标!$F$28,0))))</f>
        <v>2.7</v>
      </c>
      <c r="Z26" s="313">
        <f t="shared" si="7"/>
        <v>50</v>
      </c>
      <c r="AA26" s="239">
        <f t="shared" si="8"/>
        <v>4350</v>
      </c>
      <c r="AB26" s="239" t="str">
        <f t="shared" si="9"/>
        <v>50元/条</v>
      </c>
    </row>
    <row r="27" s="156" customFormat="1" ht="22.15" customHeight="1" spans="1:28">
      <c r="A27" s="182">
        <f>物资类勘察表!A26</f>
        <v>22</v>
      </c>
      <c r="B27" s="182" t="str">
        <f>物资类勘察表!B26</f>
        <v>废料框</v>
      </c>
      <c r="C27" s="182">
        <f>物资类勘察表!C26</f>
        <v>0</v>
      </c>
      <c r="D27" s="182"/>
      <c r="E27" s="279" t="str">
        <f>物资类勘察表!D26</f>
        <v>只</v>
      </c>
      <c r="F27" s="297">
        <f>物资类勘察表!G26</f>
        <v>6</v>
      </c>
      <c r="G27" s="298" t="s">
        <v>343</v>
      </c>
      <c r="H27" s="299"/>
      <c r="I27" s="305"/>
      <c r="J27" s="299"/>
      <c r="K27" s="182"/>
      <c r="L27" s="182"/>
      <c r="M27" s="182"/>
      <c r="N27" s="182"/>
      <c r="O27" s="284"/>
      <c r="P27" s="223">
        <f t="shared" si="0"/>
        <v>300</v>
      </c>
      <c r="Q27" s="223" t="str">
        <f t="shared" si="1"/>
        <v>50元/只</v>
      </c>
      <c r="R27" s="202"/>
      <c r="S27" s="225" t="s">
        <v>344</v>
      </c>
      <c r="T27" s="225">
        <v>25</v>
      </c>
      <c r="U27" s="239">
        <f>IF(S27=国内运杂费率参考指标!$C$25,国内运杂费率参考指标!$C$26,IF(S27=国内运杂费率参考指标!$D$25,国内运杂费率参考指标!$D$26,IF(物资类评估明细表!S27=国内运杂费率参考指标!$E$25,国内运杂费率参考指标!$E$26,IF(物资类评估明细表!S27=国内运杂费率参考指标!$F$25,国内运杂费率参考指标!$F$26,0))))</f>
        <v>0.64</v>
      </c>
      <c r="V27" s="225">
        <v>30</v>
      </c>
      <c r="W27" s="239">
        <f t="shared" si="6"/>
        <v>19.2</v>
      </c>
      <c r="X27" s="239">
        <f>IF(S27=国内运杂费率参考指标!$C$25,国内运杂费率参考指标!$C$27,IF(S27=国内运杂费率参考指标!$D$25,国内运杂费率参考指标!$D$27,IF(物资类评估明细表!S27=国内运杂费率参考指标!$E$25,国内运杂费率参考指标!$E$27,IF(物资类评估明细表!S27=国内运杂费率参考指标!$F$25,国内运杂费率参考指标!$F$27,0))))</f>
        <v>2.7</v>
      </c>
      <c r="Y27" s="239">
        <f>IF(S27=国内运杂费率参考指标!$C$25,国内运杂费率参考指标!$C$28,IF(S27=国内运杂费率参考指标!$D$25,国内运杂费率参考指标!$D$28,IF(物资类评估明细表!S27=国内运杂费率参考指标!$E$25,国内运杂费率参考指标!$E$28,IF(物资类评估明细表!S27=国内运杂费率参考指标!$F$25,国内运杂费率参考指标!$F$28,0))))</f>
        <v>2.7</v>
      </c>
      <c r="Z27" s="313">
        <f t="shared" si="7"/>
        <v>50</v>
      </c>
      <c r="AA27" s="239">
        <f t="shared" si="8"/>
        <v>300</v>
      </c>
      <c r="AB27" s="239" t="str">
        <f t="shared" si="9"/>
        <v>50元/只</v>
      </c>
    </row>
    <row r="28" s="156" customFormat="1" ht="22.15" customHeight="1" spans="1:28">
      <c r="A28" s="182">
        <f>物资类勘察表!A27</f>
        <v>23</v>
      </c>
      <c r="B28" s="182" t="str">
        <f>物资类勘察表!B27</f>
        <v>风机</v>
      </c>
      <c r="C28" s="182">
        <f>物资类勘察表!C27</f>
        <v>0</v>
      </c>
      <c r="D28" s="182"/>
      <c r="E28" s="279" t="str">
        <f>物资类勘察表!D27</f>
        <v>只</v>
      </c>
      <c r="F28" s="297">
        <f>物资类勘察表!G27</f>
        <v>10</v>
      </c>
      <c r="G28" s="298" t="s">
        <v>343</v>
      </c>
      <c r="H28" s="299"/>
      <c r="I28" s="305"/>
      <c r="J28" s="299"/>
      <c r="K28" s="182"/>
      <c r="L28" s="182"/>
      <c r="M28" s="182"/>
      <c r="N28" s="182"/>
      <c r="O28" s="284"/>
      <c r="P28" s="223">
        <f t="shared" si="0"/>
        <v>500</v>
      </c>
      <c r="Q28" s="223" t="str">
        <f t="shared" si="1"/>
        <v>50元/只</v>
      </c>
      <c r="R28" s="202"/>
      <c r="S28" s="225" t="s">
        <v>344</v>
      </c>
      <c r="T28" s="225">
        <v>25</v>
      </c>
      <c r="U28" s="239">
        <f>IF(S28=国内运杂费率参考指标!$C$25,国内运杂费率参考指标!$C$26,IF(S28=国内运杂费率参考指标!$D$25,国内运杂费率参考指标!$D$26,IF(物资类评估明细表!S28=国内运杂费率参考指标!$E$25,国内运杂费率参考指标!$E$26,IF(物资类评估明细表!S28=国内运杂费率参考指标!$F$25,国内运杂费率参考指标!$F$26,0))))</f>
        <v>0.64</v>
      </c>
      <c r="V28" s="225">
        <v>30</v>
      </c>
      <c r="W28" s="239">
        <f t="shared" si="6"/>
        <v>19.2</v>
      </c>
      <c r="X28" s="239">
        <f>IF(S28=国内运杂费率参考指标!$C$25,国内运杂费率参考指标!$C$27,IF(S28=国内运杂费率参考指标!$D$25,国内运杂费率参考指标!$D$27,IF(物资类评估明细表!S28=国内运杂费率参考指标!$E$25,国内运杂费率参考指标!$E$27,IF(物资类评估明细表!S28=国内运杂费率参考指标!$F$25,国内运杂费率参考指标!$F$27,0))))</f>
        <v>2.7</v>
      </c>
      <c r="Y28" s="239">
        <f>IF(S28=国内运杂费率参考指标!$C$25,国内运杂费率参考指标!$C$28,IF(S28=国内运杂费率参考指标!$D$25,国内运杂费率参考指标!$D$28,IF(物资类评估明细表!S28=国内运杂费率参考指标!$E$25,国内运杂费率参考指标!$E$28,IF(物资类评估明细表!S28=国内运杂费率参考指标!$F$25,国内运杂费率参考指标!$F$28,0))))</f>
        <v>2.7</v>
      </c>
      <c r="Z28" s="313">
        <f t="shared" si="7"/>
        <v>50</v>
      </c>
      <c r="AA28" s="239">
        <f t="shared" si="8"/>
        <v>500</v>
      </c>
      <c r="AB28" s="239" t="str">
        <f t="shared" si="9"/>
        <v>50元/只</v>
      </c>
    </row>
    <row r="29" s="156" customFormat="1" ht="22.15" customHeight="1" spans="1:28">
      <c r="A29" s="182">
        <f>物资类勘察表!A28</f>
        <v>24</v>
      </c>
      <c r="B29" s="182" t="str">
        <f>物资类勘察表!B28</f>
        <v>行车梁（闲置）</v>
      </c>
      <c r="C29" s="182">
        <f>物资类勘察表!C28</f>
        <v>0</v>
      </c>
      <c r="D29" s="182"/>
      <c r="E29" s="279" t="str">
        <f>物资类勘察表!D28</f>
        <v>台</v>
      </c>
      <c r="F29" s="297">
        <f>物资类勘察表!G28</f>
        <v>1</v>
      </c>
      <c r="G29" s="298" t="s">
        <v>343</v>
      </c>
      <c r="H29" s="299"/>
      <c r="I29" s="305"/>
      <c r="J29" s="299"/>
      <c r="K29" s="182"/>
      <c r="L29" s="182"/>
      <c r="M29" s="182"/>
      <c r="N29" s="182"/>
      <c r="O29" s="284"/>
      <c r="P29" s="223">
        <f t="shared" si="0"/>
        <v>50</v>
      </c>
      <c r="Q29" s="223" t="str">
        <f t="shared" si="1"/>
        <v>50元/台</v>
      </c>
      <c r="R29" s="202"/>
      <c r="S29" s="225" t="s">
        <v>344</v>
      </c>
      <c r="T29" s="225">
        <v>25</v>
      </c>
      <c r="U29" s="239">
        <f>IF(S29=国内运杂费率参考指标!$C$25,国内运杂费率参考指标!$C$26,IF(S29=国内运杂费率参考指标!$D$25,国内运杂费率参考指标!$D$26,IF(物资类评估明细表!S29=国内运杂费率参考指标!$E$25,国内运杂费率参考指标!$E$26,IF(物资类评估明细表!S29=国内运杂费率参考指标!$F$25,国内运杂费率参考指标!$F$26,0))))</f>
        <v>0.64</v>
      </c>
      <c r="V29" s="225">
        <v>30</v>
      </c>
      <c r="W29" s="239">
        <f t="shared" si="6"/>
        <v>19.2</v>
      </c>
      <c r="X29" s="239">
        <f>IF(S29=国内运杂费率参考指标!$C$25,国内运杂费率参考指标!$C$27,IF(S29=国内运杂费率参考指标!$D$25,国内运杂费率参考指标!$D$27,IF(物资类评估明细表!S29=国内运杂费率参考指标!$E$25,国内运杂费率参考指标!$E$27,IF(物资类评估明细表!S29=国内运杂费率参考指标!$F$25,国内运杂费率参考指标!$F$27,0))))</f>
        <v>2.7</v>
      </c>
      <c r="Y29" s="239">
        <f>IF(S29=国内运杂费率参考指标!$C$25,国内运杂费率参考指标!$C$28,IF(S29=国内运杂费率参考指标!$D$25,国内运杂费率参考指标!$D$28,IF(物资类评估明细表!S29=国内运杂费率参考指标!$E$25,国内运杂费率参考指标!$E$28,IF(物资类评估明细表!S29=国内运杂费率参考指标!$F$25,国内运杂费率参考指标!$F$28,0))))</f>
        <v>2.7</v>
      </c>
      <c r="Z29" s="313">
        <f t="shared" si="7"/>
        <v>50</v>
      </c>
      <c r="AA29" s="239">
        <f t="shared" si="8"/>
        <v>50</v>
      </c>
      <c r="AB29" s="239" t="str">
        <f t="shared" si="9"/>
        <v>50元/台</v>
      </c>
    </row>
    <row r="30" s="156" customFormat="1" ht="22.15" customHeight="1" spans="1:28">
      <c r="A30" s="182">
        <f>物资类勘察表!A29</f>
        <v>25</v>
      </c>
      <c r="B30" s="182" t="str">
        <f>物资类勘察表!B29</f>
        <v>电缆线（闲置）</v>
      </c>
      <c r="C30" s="182">
        <f>物资类勘察表!C29</f>
        <v>0</v>
      </c>
      <c r="D30" s="182"/>
      <c r="E30" s="279" t="str">
        <f>物资类勘察表!D29</f>
        <v>吨</v>
      </c>
      <c r="F30" s="297">
        <f>物资类勘察表!G29</f>
        <v>2</v>
      </c>
      <c r="G30" s="298" t="s">
        <v>343</v>
      </c>
      <c r="H30" s="299"/>
      <c r="I30" s="305"/>
      <c r="J30" s="299"/>
      <c r="K30" s="182"/>
      <c r="L30" s="182"/>
      <c r="M30" s="182"/>
      <c r="N30" s="182"/>
      <c r="O30" s="284"/>
      <c r="P30" s="223">
        <f t="shared" si="0"/>
        <v>100</v>
      </c>
      <c r="Q30" s="223" t="str">
        <f t="shared" si="1"/>
        <v>50元/吨</v>
      </c>
      <c r="R30" s="202"/>
      <c r="S30" s="225" t="s">
        <v>344</v>
      </c>
      <c r="T30" s="225">
        <v>25</v>
      </c>
      <c r="U30" s="239">
        <f>IF(S30=国内运杂费率参考指标!$C$25,国内运杂费率参考指标!$C$26,IF(S30=国内运杂费率参考指标!$D$25,国内运杂费率参考指标!$D$26,IF(物资类评估明细表!S30=国内运杂费率参考指标!$E$25,国内运杂费率参考指标!$E$26,IF(物资类评估明细表!S30=国内运杂费率参考指标!$F$25,国内运杂费率参考指标!$F$26,0))))</f>
        <v>0.64</v>
      </c>
      <c r="V30" s="225">
        <v>30</v>
      </c>
      <c r="W30" s="239">
        <f t="shared" si="6"/>
        <v>19.2</v>
      </c>
      <c r="X30" s="239">
        <f>IF(S30=国内运杂费率参考指标!$C$25,国内运杂费率参考指标!$C$27,IF(S30=国内运杂费率参考指标!$D$25,国内运杂费率参考指标!$D$27,IF(物资类评估明细表!S30=国内运杂费率参考指标!$E$25,国内运杂费率参考指标!$E$27,IF(物资类评估明细表!S30=国内运杂费率参考指标!$F$25,国内运杂费率参考指标!$F$27,0))))</f>
        <v>2.7</v>
      </c>
      <c r="Y30" s="239">
        <f>IF(S30=国内运杂费率参考指标!$C$25,国内运杂费率参考指标!$C$28,IF(S30=国内运杂费率参考指标!$D$25,国内运杂费率参考指标!$D$28,IF(物资类评估明细表!S30=国内运杂费率参考指标!$E$25,国内运杂费率参考指标!$E$28,IF(物资类评估明细表!S30=国内运杂费率参考指标!$F$25,国内运杂费率参考指标!$F$28,0))))</f>
        <v>2.7</v>
      </c>
      <c r="Z30" s="313">
        <f t="shared" si="7"/>
        <v>50</v>
      </c>
      <c r="AA30" s="239">
        <f t="shared" si="8"/>
        <v>100</v>
      </c>
      <c r="AB30" s="239" t="str">
        <f t="shared" si="9"/>
        <v>50元/吨</v>
      </c>
    </row>
    <row r="31" s="156" customFormat="1" ht="22.15" customHeight="1" spans="1:28">
      <c r="A31" s="182">
        <f>物资类勘察表!A30</f>
        <v>26</v>
      </c>
      <c r="B31" s="182" t="str">
        <f>物资类勘察表!B30</f>
        <v>台式电脑</v>
      </c>
      <c r="C31" s="182">
        <f>物资类勘察表!C30</f>
        <v>0</v>
      </c>
      <c r="D31" s="182"/>
      <c r="E31" s="279" t="str">
        <f>物资类勘察表!D30</f>
        <v>只</v>
      </c>
      <c r="F31" s="297">
        <f>物资类勘察表!G30</f>
        <v>3</v>
      </c>
      <c r="G31" s="298" t="s">
        <v>343</v>
      </c>
      <c r="H31" s="299"/>
      <c r="I31" s="305"/>
      <c r="J31" s="299"/>
      <c r="K31" s="182"/>
      <c r="L31" s="182"/>
      <c r="M31" s="182"/>
      <c r="N31" s="182"/>
      <c r="O31" s="284"/>
      <c r="P31" s="223">
        <f t="shared" si="0"/>
        <v>150</v>
      </c>
      <c r="Q31" s="223" t="str">
        <f t="shared" si="1"/>
        <v>50元/只</v>
      </c>
      <c r="R31" s="202"/>
      <c r="S31" s="225" t="s">
        <v>344</v>
      </c>
      <c r="T31" s="225">
        <v>25</v>
      </c>
      <c r="U31" s="239">
        <f>IF(S31=国内运杂费率参考指标!$C$25,国内运杂费率参考指标!$C$26,IF(S31=国内运杂费率参考指标!$D$25,国内运杂费率参考指标!$D$26,IF(物资类评估明细表!S31=国内运杂费率参考指标!$E$25,国内运杂费率参考指标!$E$26,IF(物资类评估明细表!S31=国内运杂费率参考指标!$F$25,国内运杂费率参考指标!$F$26,0))))</f>
        <v>0.64</v>
      </c>
      <c r="V31" s="225">
        <v>30</v>
      </c>
      <c r="W31" s="239">
        <f t="shared" si="6"/>
        <v>19.2</v>
      </c>
      <c r="X31" s="239">
        <f>IF(S31=国内运杂费率参考指标!$C$25,国内运杂费率参考指标!$C$27,IF(S31=国内运杂费率参考指标!$D$25,国内运杂费率参考指标!$D$27,IF(物资类评估明细表!S31=国内运杂费率参考指标!$E$25,国内运杂费率参考指标!$E$27,IF(物资类评估明细表!S31=国内运杂费率参考指标!$F$25,国内运杂费率参考指标!$F$27,0))))</f>
        <v>2.7</v>
      </c>
      <c r="Y31" s="239">
        <f>IF(S31=国内运杂费率参考指标!$C$25,国内运杂费率参考指标!$C$28,IF(S31=国内运杂费率参考指标!$D$25,国内运杂费率参考指标!$D$28,IF(物资类评估明细表!S31=国内运杂费率参考指标!$E$25,国内运杂费率参考指标!$E$28,IF(物资类评估明细表!S31=国内运杂费率参考指标!$F$25,国内运杂费率参考指标!$F$28,0))))</f>
        <v>2.7</v>
      </c>
      <c r="Z31" s="313">
        <f t="shared" si="7"/>
        <v>50</v>
      </c>
      <c r="AA31" s="239">
        <f t="shared" si="8"/>
        <v>150</v>
      </c>
      <c r="AB31" s="239" t="str">
        <f t="shared" si="9"/>
        <v>50元/只</v>
      </c>
    </row>
    <row r="32" s="156" customFormat="1" ht="22.15" customHeight="1" spans="1:28">
      <c r="A32" s="182">
        <f>物资类勘察表!A31</f>
        <v>27</v>
      </c>
      <c r="B32" s="182" t="str">
        <f>物资类勘察表!B31</f>
        <v>笔记本电脑</v>
      </c>
      <c r="C32" s="182">
        <f>物资类勘察表!C31</f>
        <v>0</v>
      </c>
      <c r="D32" s="182"/>
      <c r="E32" s="279" t="str">
        <f>物资类勘察表!D31</f>
        <v>只</v>
      </c>
      <c r="F32" s="297">
        <f>物资类勘察表!G31</f>
        <v>1</v>
      </c>
      <c r="G32" s="298" t="s">
        <v>343</v>
      </c>
      <c r="H32" s="299"/>
      <c r="I32" s="305"/>
      <c r="J32" s="299"/>
      <c r="K32" s="182"/>
      <c r="L32" s="182"/>
      <c r="M32" s="182"/>
      <c r="N32" s="182"/>
      <c r="O32" s="284"/>
      <c r="P32" s="223">
        <f t="shared" si="0"/>
        <v>50</v>
      </c>
      <c r="Q32" s="223" t="str">
        <f t="shared" si="1"/>
        <v>50元/只</v>
      </c>
      <c r="R32" s="202"/>
      <c r="S32" s="225" t="s">
        <v>344</v>
      </c>
      <c r="T32" s="225">
        <v>25</v>
      </c>
      <c r="U32" s="239">
        <f>IF(S32=国内运杂费率参考指标!$C$25,国内运杂费率参考指标!$C$26,IF(S32=国内运杂费率参考指标!$D$25,国内运杂费率参考指标!$D$26,IF(物资类评估明细表!S32=国内运杂费率参考指标!$E$25,国内运杂费率参考指标!$E$26,IF(物资类评估明细表!S32=国内运杂费率参考指标!$F$25,国内运杂费率参考指标!$F$26,0))))</f>
        <v>0.64</v>
      </c>
      <c r="V32" s="225">
        <v>30</v>
      </c>
      <c r="W32" s="239">
        <f t="shared" si="6"/>
        <v>19.2</v>
      </c>
      <c r="X32" s="239">
        <f>IF(S32=国内运杂费率参考指标!$C$25,国内运杂费率参考指标!$C$27,IF(S32=国内运杂费率参考指标!$D$25,国内运杂费率参考指标!$D$27,IF(物资类评估明细表!S32=国内运杂费率参考指标!$E$25,国内运杂费率参考指标!$E$27,IF(物资类评估明细表!S32=国内运杂费率参考指标!$F$25,国内运杂费率参考指标!$F$27,0))))</f>
        <v>2.7</v>
      </c>
      <c r="Y32" s="239">
        <f>IF(S32=国内运杂费率参考指标!$C$25,国内运杂费率参考指标!$C$28,IF(S32=国内运杂费率参考指标!$D$25,国内运杂费率参考指标!$D$28,IF(物资类评估明细表!S32=国内运杂费率参考指标!$E$25,国内运杂费率参考指标!$E$28,IF(物资类评估明细表!S32=国内运杂费率参考指标!$F$25,国内运杂费率参考指标!$F$28,0))))</f>
        <v>2.7</v>
      </c>
      <c r="Z32" s="313">
        <f t="shared" si="7"/>
        <v>50</v>
      </c>
      <c r="AA32" s="239">
        <f t="shared" si="8"/>
        <v>50</v>
      </c>
      <c r="AB32" s="239" t="str">
        <f t="shared" si="9"/>
        <v>50元/只</v>
      </c>
    </row>
    <row r="33" s="156" customFormat="1" ht="22.15" customHeight="1" spans="1:28">
      <c r="A33" s="182">
        <f>物资类勘察表!A32</f>
        <v>28</v>
      </c>
      <c r="B33" s="182" t="str">
        <f>物资类勘察表!B32</f>
        <v>打印机</v>
      </c>
      <c r="C33" s="182">
        <f>物资类勘察表!C32</f>
        <v>0</v>
      </c>
      <c r="D33" s="182"/>
      <c r="E33" s="279" t="str">
        <f>物资类勘察表!D32</f>
        <v>只</v>
      </c>
      <c r="F33" s="297">
        <f>物资类勘察表!G32</f>
        <v>5</v>
      </c>
      <c r="G33" s="298" t="s">
        <v>343</v>
      </c>
      <c r="H33" s="299"/>
      <c r="I33" s="305"/>
      <c r="J33" s="299"/>
      <c r="K33" s="182"/>
      <c r="L33" s="182"/>
      <c r="M33" s="182"/>
      <c r="N33" s="182"/>
      <c r="O33" s="284"/>
      <c r="P33" s="223">
        <f t="shared" si="0"/>
        <v>250</v>
      </c>
      <c r="Q33" s="223" t="str">
        <f t="shared" si="1"/>
        <v>50元/只</v>
      </c>
      <c r="R33" s="202"/>
      <c r="S33" s="225" t="s">
        <v>344</v>
      </c>
      <c r="T33" s="225">
        <v>25</v>
      </c>
      <c r="U33" s="239">
        <f>IF(S33=国内运杂费率参考指标!$C$25,国内运杂费率参考指标!$C$26,IF(S33=国内运杂费率参考指标!$D$25,国内运杂费率参考指标!$D$26,IF(物资类评估明细表!S33=国内运杂费率参考指标!$E$25,国内运杂费率参考指标!$E$26,IF(物资类评估明细表!S33=国内运杂费率参考指标!$F$25,国内运杂费率参考指标!$F$26,0))))</f>
        <v>0.64</v>
      </c>
      <c r="V33" s="225">
        <v>30</v>
      </c>
      <c r="W33" s="239">
        <f t="shared" si="6"/>
        <v>19.2</v>
      </c>
      <c r="X33" s="239">
        <f>IF(S33=国内运杂费率参考指标!$C$25,国内运杂费率参考指标!$C$27,IF(S33=国内运杂费率参考指标!$D$25,国内运杂费率参考指标!$D$27,IF(物资类评估明细表!S33=国内运杂费率参考指标!$E$25,国内运杂费率参考指标!$E$27,IF(物资类评估明细表!S33=国内运杂费率参考指标!$F$25,国内运杂费率参考指标!$F$27,0))))</f>
        <v>2.7</v>
      </c>
      <c r="Y33" s="239">
        <f>IF(S33=国内运杂费率参考指标!$C$25,国内运杂费率参考指标!$C$28,IF(S33=国内运杂费率参考指标!$D$25,国内运杂费率参考指标!$D$28,IF(物资类评估明细表!S33=国内运杂费率参考指标!$E$25,国内运杂费率参考指标!$E$28,IF(物资类评估明细表!S33=国内运杂费率参考指标!$F$25,国内运杂费率参考指标!$F$28,0))))</f>
        <v>2.7</v>
      </c>
      <c r="Z33" s="313">
        <f t="shared" si="7"/>
        <v>50</v>
      </c>
      <c r="AA33" s="239">
        <f t="shared" si="8"/>
        <v>250</v>
      </c>
      <c r="AB33" s="239" t="str">
        <f t="shared" si="9"/>
        <v>50元/只</v>
      </c>
    </row>
    <row r="34" s="156" customFormat="1" ht="22.15" customHeight="1" spans="1:28">
      <c r="A34" s="182">
        <f>物资类勘察表!A33</f>
        <v>29</v>
      </c>
      <c r="B34" s="182" t="str">
        <f>物资类勘察表!B33</f>
        <v>钢板</v>
      </c>
      <c r="C34" s="182">
        <f>物资类勘察表!C33</f>
        <v>0</v>
      </c>
      <c r="D34" s="182"/>
      <c r="E34" s="279" t="str">
        <f>物资类勘察表!D33</f>
        <v>吨</v>
      </c>
      <c r="F34" s="297">
        <f>物资类勘察表!G33</f>
        <v>8</v>
      </c>
      <c r="G34" s="298" t="s">
        <v>343</v>
      </c>
      <c r="H34" s="299"/>
      <c r="I34" s="305"/>
      <c r="J34" s="299"/>
      <c r="K34" s="182"/>
      <c r="L34" s="182"/>
      <c r="M34" s="182"/>
      <c r="N34" s="182"/>
      <c r="O34" s="284"/>
      <c r="P34" s="223">
        <f t="shared" si="0"/>
        <v>400</v>
      </c>
      <c r="Q34" s="223" t="str">
        <f t="shared" si="1"/>
        <v>50元/吨</v>
      </c>
      <c r="R34" s="202"/>
      <c r="S34" s="225" t="s">
        <v>344</v>
      </c>
      <c r="T34" s="225">
        <v>25</v>
      </c>
      <c r="U34" s="239">
        <f>IF(S34=国内运杂费率参考指标!$C$25,国内运杂费率参考指标!$C$26,IF(S34=国内运杂费率参考指标!$D$25,国内运杂费率参考指标!$D$26,IF(物资类评估明细表!S34=国内运杂费率参考指标!$E$25,国内运杂费率参考指标!$E$26,IF(物资类评估明细表!S34=国内运杂费率参考指标!$F$25,国内运杂费率参考指标!$F$26,0))))</f>
        <v>0.64</v>
      </c>
      <c r="V34" s="225">
        <v>30</v>
      </c>
      <c r="W34" s="239">
        <f t="shared" si="6"/>
        <v>19.2</v>
      </c>
      <c r="X34" s="239">
        <f>IF(S34=国内运杂费率参考指标!$C$25,国内运杂费率参考指标!$C$27,IF(S34=国内运杂费率参考指标!$D$25,国内运杂费率参考指标!$D$27,IF(物资类评估明细表!S34=国内运杂费率参考指标!$E$25,国内运杂费率参考指标!$E$27,IF(物资类评估明细表!S34=国内运杂费率参考指标!$F$25,国内运杂费率参考指标!$F$27,0))))</f>
        <v>2.7</v>
      </c>
      <c r="Y34" s="239">
        <f>IF(S34=国内运杂费率参考指标!$C$25,国内运杂费率参考指标!$C$28,IF(S34=国内运杂费率参考指标!$D$25,国内运杂费率参考指标!$D$28,IF(物资类评估明细表!S34=国内运杂费率参考指标!$E$25,国内运杂费率参考指标!$E$28,IF(物资类评估明细表!S34=国内运杂费率参考指标!$F$25,国内运杂费率参考指标!$F$28,0))))</f>
        <v>2.7</v>
      </c>
      <c r="Z34" s="313">
        <f t="shared" si="7"/>
        <v>50</v>
      </c>
      <c r="AA34" s="239">
        <f t="shared" si="8"/>
        <v>400</v>
      </c>
      <c r="AB34" s="239" t="str">
        <f t="shared" si="9"/>
        <v>50元/吨</v>
      </c>
    </row>
    <row r="35" s="156" customFormat="1" ht="22.15" customHeight="1" spans="1:28">
      <c r="A35" s="182">
        <f>物资类勘察表!A34</f>
        <v>0</v>
      </c>
      <c r="B35" s="182"/>
      <c r="C35" s="182"/>
      <c r="D35" s="182"/>
      <c r="E35" s="279"/>
      <c r="F35" s="297"/>
      <c r="G35" s="298"/>
      <c r="H35" s="299"/>
      <c r="I35" s="305"/>
      <c r="J35" s="299"/>
      <c r="K35" s="182"/>
      <c r="L35" s="182"/>
      <c r="M35" s="182"/>
      <c r="N35" s="182"/>
      <c r="O35" s="284"/>
      <c r="P35" s="223"/>
      <c r="Q35" s="223">
        <f>AN35</f>
        <v>0</v>
      </c>
      <c r="R35" s="202"/>
      <c r="S35" s="225" t="s">
        <v>344</v>
      </c>
      <c r="T35" s="225">
        <v>25</v>
      </c>
      <c r="U35" s="239">
        <f>IF(S35=国内运杂费率参考指标!$C$25,国内运杂费率参考指标!$C$26,IF(S35=国内运杂费率参考指标!$D$25,国内运杂费率参考指标!$D$26,IF(物资类评估明细表!S35=国内运杂费率参考指标!$E$25,国内运杂费率参考指标!$E$26,IF(物资类评估明细表!S35=国内运杂费率参考指标!$F$25,国内运杂费率参考指标!$F$26,0))))</f>
        <v>0.64</v>
      </c>
      <c r="V35" s="225">
        <v>30</v>
      </c>
      <c r="W35" s="239">
        <f t="shared" si="6"/>
        <v>19.2</v>
      </c>
      <c r="X35" s="239">
        <f>IF(S35=国内运杂费率参考指标!$C$25,国内运杂费率参考指标!$C$27,IF(S35=国内运杂费率参考指标!$D$25,国内运杂费率参考指标!$D$27,IF(物资类评估明细表!S35=国内运杂费率参考指标!$E$25,国内运杂费率参考指标!$E$27,IF(物资类评估明细表!S35=国内运杂费率参考指标!$F$25,国内运杂费率参考指标!$F$27,0))))</f>
        <v>2.7</v>
      </c>
      <c r="Y35" s="239">
        <f>IF(S35=国内运杂费率参考指标!$C$25,国内运杂费率参考指标!$C$28,IF(S35=国内运杂费率参考指标!$D$25,国内运杂费率参考指标!$D$28,IF(物资类评估明细表!S35=国内运杂费率参考指标!$E$25,国内运杂费率参考指标!$E$28,IF(物资类评估明细表!S35=国内运杂费率参考指标!$F$25,国内运杂费率参考指标!$F$28,0))))</f>
        <v>2.7</v>
      </c>
      <c r="Z35" s="313">
        <f t="shared" si="7"/>
        <v>50</v>
      </c>
      <c r="AA35" s="239">
        <f t="shared" si="8"/>
        <v>0</v>
      </c>
      <c r="AB35" s="239" t="str">
        <f t="shared" si="9"/>
        <v/>
      </c>
    </row>
    <row r="36" s="156" customFormat="1" ht="22.15" customHeight="1" spans="1:28">
      <c r="A36" s="182">
        <f>物资类勘察表!A35</f>
        <v>0</v>
      </c>
      <c r="B36" s="182"/>
      <c r="C36" s="182"/>
      <c r="D36" s="182"/>
      <c r="E36" s="279"/>
      <c r="F36" s="297"/>
      <c r="G36" s="298"/>
      <c r="H36" s="299"/>
      <c r="I36" s="305"/>
      <c r="J36" s="299"/>
      <c r="K36" s="182"/>
      <c r="L36" s="182"/>
      <c r="M36" s="182"/>
      <c r="N36" s="182"/>
      <c r="O36" s="284"/>
      <c r="P36" s="223"/>
      <c r="Q36" s="223">
        <f>AN36</f>
        <v>0</v>
      </c>
      <c r="R36" s="202"/>
      <c r="S36" s="225" t="s">
        <v>344</v>
      </c>
      <c r="T36" s="225">
        <v>25</v>
      </c>
      <c r="U36" s="239">
        <f>IF(S36=国内运杂费率参考指标!$C$25,国内运杂费率参考指标!$C$26,IF(S36=国内运杂费率参考指标!$D$25,国内运杂费率参考指标!$D$26,IF(物资类评估明细表!S36=国内运杂费率参考指标!$E$25,国内运杂费率参考指标!$E$26,IF(物资类评估明细表!S36=国内运杂费率参考指标!$F$25,国内运杂费率参考指标!$F$26,0))))</f>
        <v>0.64</v>
      </c>
      <c r="V36" s="225">
        <v>30</v>
      </c>
      <c r="W36" s="239">
        <f t="shared" si="6"/>
        <v>19.2</v>
      </c>
      <c r="X36" s="239">
        <f>IF(S36=国内运杂费率参考指标!$C$25,国内运杂费率参考指标!$C$27,IF(S36=国内运杂费率参考指标!$D$25,国内运杂费率参考指标!$D$27,IF(物资类评估明细表!S36=国内运杂费率参考指标!$E$25,国内运杂费率参考指标!$E$27,IF(物资类评估明细表!S36=国内运杂费率参考指标!$F$25,国内运杂费率参考指标!$F$27,0))))</f>
        <v>2.7</v>
      </c>
      <c r="Y36" s="239">
        <f>IF(S36=国内运杂费率参考指标!$C$25,国内运杂费率参考指标!$C$28,IF(S36=国内运杂费率参考指标!$D$25,国内运杂费率参考指标!$D$28,IF(物资类评估明细表!S36=国内运杂费率参考指标!$E$25,国内运杂费率参考指标!$E$28,IF(物资类评估明细表!S36=国内运杂费率参考指标!$F$25,国内运杂费率参考指标!$F$28,0))))</f>
        <v>2.7</v>
      </c>
      <c r="Z36" s="313">
        <f t="shared" si="7"/>
        <v>50</v>
      </c>
      <c r="AA36" s="239">
        <f t="shared" si="8"/>
        <v>0</v>
      </c>
      <c r="AB36" s="239" t="str">
        <f t="shared" si="9"/>
        <v/>
      </c>
    </row>
    <row r="37" s="156" customFormat="1" ht="22.15" customHeight="1" spans="1:28">
      <c r="A37" s="182">
        <f>物资类勘察表!A36</f>
        <v>0</v>
      </c>
      <c r="B37" s="182"/>
      <c r="C37" s="182"/>
      <c r="D37" s="182"/>
      <c r="E37" s="279"/>
      <c r="F37" s="297"/>
      <c r="G37" s="298"/>
      <c r="H37" s="299"/>
      <c r="I37" s="305"/>
      <c r="J37" s="299"/>
      <c r="K37" s="182"/>
      <c r="L37" s="182"/>
      <c r="M37" s="182"/>
      <c r="N37" s="182"/>
      <c r="O37" s="284"/>
      <c r="P37" s="223"/>
      <c r="Q37" s="223">
        <f>AN37</f>
        <v>0</v>
      </c>
      <c r="R37" s="202"/>
      <c r="S37" s="225" t="s">
        <v>344</v>
      </c>
      <c r="T37" s="225">
        <v>25</v>
      </c>
      <c r="U37" s="239">
        <f>IF(S37=国内运杂费率参考指标!$C$25,国内运杂费率参考指标!$C$26,IF(S37=国内运杂费率参考指标!$D$25,国内运杂费率参考指标!$D$26,IF(物资类评估明细表!S37=国内运杂费率参考指标!$E$25,国内运杂费率参考指标!$E$26,IF(物资类评估明细表!S37=国内运杂费率参考指标!$F$25,国内运杂费率参考指标!$F$26,0))))</f>
        <v>0.64</v>
      </c>
      <c r="V37" s="225">
        <v>30</v>
      </c>
      <c r="W37" s="239">
        <f t="shared" si="6"/>
        <v>19.2</v>
      </c>
      <c r="X37" s="239">
        <f>IF(S37=国内运杂费率参考指标!$C$25,国内运杂费率参考指标!$C$27,IF(S37=国内运杂费率参考指标!$D$25,国内运杂费率参考指标!$D$27,IF(物资类评估明细表!S37=国内运杂费率参考指标!$E$25,国内运杂费率参考指标!$E$27,IF(物资类评估明细表!S37=国内运杂费率参考指标!$F$25,国内运杂费率参考指标!$F$27,0))))</f>
        <v>2.7</v>
      </c>
      <c r="Y37" s="239">
        <f>IF(S37=国内运杂费率参考指标!$C$25,国内运杂费率参考指标!$C$28,IF(S37=国内运杂费率参考指标!$D$25,国内运杂费率参考指标!$D$28,IF(物资类评估明细表!S37=国内运杂费率参考指标!$E$25,国内运杂费率参考指标!$E$28,IF(物资类评估明细表!S37=国内运杂费率参考指标!$F$25,国内运杂费率参考指标!$F$28,0))))</f>
        <v>2.7</v>
      </c>
      <c r="Z37" s="313">
        <f t="shared" si="7"/>
        <v>50</v>
      </c>
      <c r="AA37" s="239">
        <f t="shared" si="8"/>
        <v>0</v>
      </c>
      <c r="AB37" s="239" t="str">
        <f t="shared" si="9"/>
        <v/>
      </c>
    </row>
    <row r="38" s="156" customFormat="1" ht="22.15" customHeight="1" spans="1:28">
      <c r="A38" s="280"/>
      <c r="B38" s="182"/>
      <c r="C38" s="182"/>
      <c r="D38" s="182"/>
      <c r="E38" s="279"/>
      <c r="F38" s="297"/>
      <c r="G38" s="298"/>
      <c r="H38" s="299"/>
      <c r="I38" s="305"/>
      <c r="J38" s="299"/>
      <c r="K38" s="182"/>
      <c r="L38" s="182"/>
      <c r="M38" s="182"/>
      <c r="N38" s="182"/>
      <c r="O38" s="284"/>
      <c r="P38" s="223">
        <f>AA38</f>
        <v>0</v>
      </c>
      <c r="Q38" s="223">
        <f>AN38</f>
        <v>0</v>
      </c>
      <c r="R38" s="202"/>
      <c r="S38" s="225" t="s">
        <v>344</v>
      </c>
      <c r="T38" s="225">
        <v>25</v>
      </c>
      <c r="U38" s="239">
        <f>IF(S38=国内运杂费率参考指标!$C$25,国内运杂费率参考指标!$C$26,IF(S38=国内运杂费率参考指标!$D$25,国内运杂费率参考指标!$D$26,IF(物资类评估明细表!S38=国内运杂费率参考指标!$E$25,国内运杂费率参考指标!$E$26,IF(物资类评估明细表!S38=国内运杂费率参考指标!$F$25,国内运杂费率参考指标!$F$26,0))))</f>
        <v>0.64</v>
      </c>
      <c r="V38" s="225">
        <v>30</v>
      </c>
      <c r="W38" s="239">
        <f t="shared" si="6"/>
        <v>19.2</v>
      </c>
      <c r="X38" s="239">
        <f>IF(S38=国内运杂费率参考指标!$C$25,国内运杂费率参考指标!$C$27,IF(S38=国内运杂费率参考指标!$D$25,国内运杂费率参考指标!$D$27,IF(物资类评估明细表!S38=国内运杂费率参考指标!$E$25,国内运杂费率参考指标!$E$27,IF(物资类评估明细表!S38=国内运杂费率参考指标!$F$25,国内运杂费率参考指标!$F$27,0))))</f>
        <v>2.7</v>
      </c>
      <c r="Y38" s="239">
        <f>IF(S38=国内运杂费率参考指标!$C$25,国内运杂费率参考指标!$C$28,IF(S38=国内运杂费率参考指标!$D$25,国内运杂费率参考指标!$D$28,IF(物资类评估明细表!S38=国内运杂费率参考指标!$E$25,国内运杂费率参考指标!$E$28,IF(物资类评估明细表!S38=国内运杂费率参考指标!$F$25,国内运杂费率参考指标!$F$28,0))))</f>
        <v>2.7</v>
      </c>
      <c r="Z38" s="313">
        <f t="shared" si="7"/>
        <v>50</v>
      </c>
      <c r="AA38" s="239">
        <f t="shared" si="8"/>
        <v>0</v>
      </c>
      <c r="AB38" s="239" t="str">
        <f t="shared" si="9"/>
        <v/>
      </c>
    </row>
    <row r="39" s="156" customFormat="1" ht="22.15" customHeight="1" spans="1:28">
      <c r="A39" s="280"/>
      <c r="B39" s="182"/>
      <c r="C39" s="182"/>
      <c r="D39" s="182"/>
      <c r="E39" s="279"/>
      <c r="F39" s="297"/>
      <c r="G39" s="298"/>
      <c r="H39" s="299"/>
      <c r="I39" s="305"/>
      <c r="J39" s="299"/>
      <c r="K39" s="182"/>
      <c r="L39" s="182"/>
      <c r="M39" s="182"/>
      <c r="N39" s="182"/>
      <c r="O39" s="284"/>
      <c r="P39" s="223">
        <f>AA39</f>
        <v>0</v>
      </c>
      <c r="Q39" s="223">
        <f>AN39</f>
        <v>0</v>
      </c>
      <c r="R39" s="202"/>
      <c r="S39" s="225" t="s">
        <v>344</v>
      </c>
      <c r="T39" s="225">
        <v>25</v>
      </c>
      <c r="U39" s="239">
        <f>IF(S39=国内运杂费率参考指标!$C$25,国内运杂费率参考指标!$C$26,IF(S39=国内运杂费率参考指标!$D$25,国内运杂费率参考指标!$D$26,IF(物资类评估明细表!S39=国内运杂费率参考指标!$E$25,国内运杂费率参考指标!$E$26,IF(物资类评估明细表!S39=国内运杂费率参考指标!$F$25,国内运杂费率参考指标!$F$26,0))))</f>
        <v>0.64</v>
      </c>
      <c r="V39" s="225">
        <v>30</v>
      </c>
      <c r="W39" s="239">
        <f t="shared" si="6"/>
        <v>19.2</v>
      </c>
      <c r="X39" s="239">
        <f>IF(S39=国内运杂费率参考指标!$C$25,国内运杂费率参考指标!$C$27,IF(S39=国内运杂费率参考指标!$D$25,国内运杂费率参考指标!$D$27,IF(物资类评估明细表!S39=国内运杂费率参考指标!$E$25,国内运杂费率参考指标!$E$27,IF(物资类评估明细表!S39=国内运杂费率参考指标!$F$25,国内运杂费率参考指标!$F$27,0))))</f>
        <v>2.7</v>
      </c>
      <c r="Y39" s="239">
        <f>IF(S39=国内运杂费率参考指标!$C$25,国内运杂费率参考指标!$C$28,IF(S39=国内运杂费率参考指标!$D$25,国内运杂费率参考指标!$D$28,IF(物资类评估明细表!S39=国内运杂费率参考指标!$E$25,国内运杂费率参考指标!$E$28,IF(物资类评估明细表!S39=国内运杂费率参考指标!$F$25,国内运杂费率参考指标!$F$28,0))))</f>
        <v>2.7</v>
      </c>
      <c r="Z39" s="313">
        <f t="shared" si="7"/>
        <v>50</v>
      </c>
      <c r="AA39" s="239">
        <f t="shared" si="8"/>
        <v>0</v>
      </c>
      <c r="AB39" s="239" t="str">
        <f t="shared" si="9"/>
        <v/>
      </c>
    </row>
    <row r="40" s="156" customFormat="1" ht="22.15" customHeight="1" spans="1:28">
      <c r="A40" s="280"/>
      <c r="B40" s="182"/>
      <c r="C40" s="182"/>
      <c r="D40" s="182"/>
      <c r="E40" s="279"/>
      <c r="F40" s="297"/>
      <c r="G40" s="298"/>
      <c r="H40" s="299"/>
      <c r="I40" s="305"/>
      <c r="J40" s="299"/>
      <c r="K40" s="182"/>
      <c r="L40" s="182"/>
      <c r="M40" s="182"/>
      <c r="N40" s="182"/>
      <c r="O40" s="284"/>
      <c r="P40" s="223">
        <f>AA40</f>
        <v>0</v>
      </c>
      <c r="Q40" s="223">
        <f>AN40</f>
        <v>0</v>
      </c>
      <c r="R40" s="202"/>
      <c r="S40" s="225" t="s">
        <v>344</v>
      </c>
      <c r="T40" s="225">
        <v>25</v>
      </c>
      <c r="U40" s="239">
        <f>IF(S40=国内运杂费率参考指标!$C$25,国内运杂费率参考指标!$C$26,IF(S40=国内运杂费率参考指标!$D$25,国内运杂费率参考指标!$D$26,IF(物资类评估明细表!S40=国内运杂费率参考指标!$E$25,国内运杂费率参考指标!$E$26,IF(物资类评估明细表!S40=国内运杂费率参考指标!$F$25,国内运杂费率参考指标!$F$26,0))))</f>
        <v>0.64</v>
      </c>
      <c r="V40" s="225">
        <v>30</v>
      </c>
      <c r="W40" s="239">
        <f t="shared" si="6"/>
        <v>19.2</v>
      </c>
      <c r="X40" s="239">
        <f>IF(S40=国内运杂费率参考指标!$C$25,国内运杂费率参考指标!$C$27,IF(S40=国内运杂费率参考指标!$D$25,国内运杂费率参考指标!$D$27,IF(物资类评估明细表!S40=国内运杂费率参考指标!$E$25,国内运杂费率参考指标!$E$27,IF(物资类评估明细表!S40=国内运杂费率参考指标!$F$25,国内运杂费率参考指标!$F$27,0))))</f>
        <v>2.7</v>
      </c>
      <c r="Y40" s="239">
        <f>IF(S40=国内运杂费率参考指标!$C$25,国内运杂费率参考指标!$C$28,IF(S40=国内运杂费率参考指标!$D$25,国内运杂费率参考指标!$D$28,IF(物资类评估明细表!S40=国内运杂费率参考指标!$E$25,国内运杂费率参考指标!$E$28,IF(物资类评估明细表!S40=国内运杂费率参考指标!$F$25,国内运杂费率参考指标!$F$28,0))))</f>
        <v>2.7</v>
      </c>
      <c r="Z40" s="313">
        <f t="shared" si="7"/>
        <v>50</v>
      </c>
      <c r="AA40" s="239">
        <f t="shared" si="8"/>
        <v>0</v>
      </c>
      <c r="AB40" s="239" t="str">
        <f t="shared" si="9"/>
        <v/>
      </c>
    </row>
    <row r="41" s="156" customFormat="1" ht="22.15" customHeight="1" spans="1:28">
      <c r="A41" s="280"/>
      <c r="B41" s="182"/>
      <c r="C41" s="182"/>
      <c r="D41" s="182"/>
      <c r="E41" s="279"/>
      <c r="F41" s="297"/>
      <c r="G41" s="298"/>
      <c r="H41" s="299"/>
      <c r="I41" s="305"/>
      <c r="J41" s="299"/>
      <c r="K41" s="182"/>
      <c r="L41" s="182"/>
      <c r="M41" s="182"/>
      <c r="N41" s="182"/>
      <c r="O41" s="284"/>
      <c r="P41" s="223">
        <f>AA41</f>
        <v>0</v>
      </c>
      <c r="Q41" s="223">
        <f>AN41</f>
        <v>0</v>
      </c>
      <c r="R41" s="202"/>
      <c r="S41" s="225" t="s">
        <v>344</v>
      </c>
      <c r="T41" s="225">
        <v>25</v>
      </c>
      <c r="U41" s="239">
        <f>IF(S41=国内运杂费率参考指标!$C$25,国内运杂费率参考指标!$C$26,IF(S41=国内运杂费率参考指标!$D$25,国内运杂费率参考指标!$D$26,IF(物资类评估明细表!S41=国内运杂费率参考指标!$E$25,国内运杂费率参考指标!$E$26,IF(物资类评估明细表!S41=国内运杂费率参考指标!$F$25,国内运杂费率参考指标!$F$26,0))))</f>
        <v>0.64</v>
      </c>
      <c r="V41" s="225">
        <v>30</v>
      </c>
      <c r="W41" s="239">
        <f t="shared" si="6"/>
        <v>19.2</v>
      </c>
      <c r="X41" s="239">
        <f>IF(S41=国内运杂费率参考指标!$C$25,国内运杂费率参考指标!$C$27,IF(S41=国内运杂费率参考指标!$D$25,国内运杂费率参考指标!$D$27,IF(物资类评估明细表!S41=国内运杂费率参考指标!$E$25,国内运杂费率参考指标!$E$27,IF(物资类评估明细表!S41=国内运杂费率参考指标!$F$25,国内运杂费率参考指标!$F$27,0))))</f>
        <v>2.7</v>
      </c>
      <c r="Y41" s="239">
        <f>IF(S41=国内运杂费率参考指标!$C$25,国内运杂费率参考指标!$C$28,IF(S41=国内运杂费率参考指标!$D$25,国内运杂费率参考指标!$D$28,IF(物资类评估明细表!S41=国内运杂费率参考指标!$E$25,国内运杂费率参考指标!$E$28,IF(物资类评估明细表!S41=国内运杂费率参考指标!$F$25,国内运杂费率参考指标!$F$28,0))))</f>
        <v>2.7</v>
      </c>
      <c r="Z41" s="313">
        <f t="shared" si="7"/>
        <v>50</v>
      </c>
      <c r="AA41" s="239">
        <f t="shared" si="8"/>
        <v>0</v>
      </c>
      <c r="AB41" s="239" t="str">
        <f t="shared" si="9"/>
        <v/>
      </c>
    </row>
    <row r="42" s="156" customFormat="1" ht="22.15" customHeight="1" spans="1:28">
      <c r="A42" s="280" t="s">
        <v>70</v>
      </c>
      <c r="B42" s="300"/>
      <c r="C42" s="301"/>
      <c r="D42" s="182"/>
      <c r="E42" s="182"/>
      <c r="F42" s="182"/>
      <c r="G42" s="302"/>
      <c r="H42" s="303">
        <f>SUM(H6:H41)</f>
        <v>0</v>
      </c>
      <c r="I42" s="302"/>
      <c r="J42" s="303"/>
      <c r="K42" s="182"/>
      <c r="L42" s="182"/>
      <c r="M42" s="182"/>
      <c r="N42" s="182"/>
      <c r="O42" s="284"/>
      <c r="P42" s="184">
        <f>AA42</f>
        <v>36750</v>
      </c>
      <c r="Q42" s="286"/>
      <c r="R42" s="202"/>
      <c r="S42" s="239"/>
      <c r="T42" s="239"/>
      <c r="U42" s="239"/>
      <c r="V42" s="239"/>
      <c r="W42" s="239"/>
      <c r="X42" s="239"/>
      <c r="Y42" s="239"/>
      <c r="Z42" s="239"/>
      <c r="AA42" s="290">
        <f>SUM(AA6:AA34)</f>
        <v>36750</v>
      </c>
      <c r="AB42" s="239"/>
    </row>
    <row r="43" ht="21.95" customHeight="1" spans="10:16">
      <c r="J43" s="283" t="s">
        <v>349</v>
      </c>
      <c r="P43" s="283" t="s">
        <v>350</v>
      </c>
    </row>
    <row r="44" ht="21.95" customHeight="1" spans="2:2">
      <c r="B44" s="283" t="s">
        <v>351</v>
      </c>
    </row>
    <row r="45" ht="21.95" customHeight="1" spans="2:2">
      <c r="B45" s="283" t="s">
        <v>352</v>
      </c>
    </row>
  </sheetData>
  <autoFilter ref="A5:Q45">
    <extLst/>
  </autoFilter>
  <mergeCells count="32">
    <mergeCell ref="A1:Q1"/>
    <mergeCell ref="A2:Q2"/>
    <mergeCell ref="P3:Q3"/>
    <mergeCell ref="K4:O4"/>
    <mergeCell ref="U4:W4"/>
    <mergeCell ref="AG4:AK4"/>
    <mergeCell ref="AL4:AM4"/>
    <mergeCell ref="A42:C42"/>
    <mergeCell ref="A4:A5"/>
    <mergeCell ref="B4:B5"/>
    <mergeCell ref="C4:C5"/>
    <mergeCell ref="D4:D5"/>
    <mergeCell ref="E4:E5"/>
    <mergeCell ref="F4:F5"/>
    <mergeCell ref="G4:G5"/>
    <mergeCell ref="H4:H5"/>
    <mergeCell ref="I4:I5"/>
    <mergeCell ref="J4:J5"/>
    <mergeCell ref="P4:P5"/>
    <mergeCell ref="Q4:Q5"/>
    <mergeCell ref="R4:R5"/>
    <mergeCell ref="S4:S5"/>
    <mergeCell ref="T4:T5"/>
    <mergeCell ref="X4:X5"/>
    <mergeCell ref="Y4:Y5"/>
    <mergeCell ref="Z4:Z5"/>
    <mergeCell ref="AA4:AA5"/>
    <mergeCell ref="AB4:AB5"/>
    <mergeCell ref="AD4:AD5"/>
    <mergeCell ref="AE4:AE5"/>
    <mergeCell ref="AF4:AF5"/>
    <mergeCell ref="AN4:AN5"/>
  </mergeCells>
  <dataValidations count="2">
    <dataValidation type="list" allowBlank="1" showInputMessage="1" showErrorMessage="1" sqref="G6 G7:G30 G31:G32 G33:G34 G35:G41">
      <formula1>"可,否"</formula1>
    </dataValidation>
    <dataValidation type="list" allowBlank="1" sqref="S6:S7 S8:S41">
      <formula1>国内运杂费率参考指标!$B$31:$B$34</formula1>
    </dataValidation>
  </dataValidations>
  <printOptions horizontalCentered="1"/>
  <pageMargins left="0.393055555555556" right="0.393055555555556" top="0.472222222222222" bottom="0.984027777777778" header="0.511805555555556" footer="0.511805555555556"/>
  <pageSetup paperSize="9" scale="87" fitToHeight="0" orientation="landscape" blackAndWhite="1" horizontalDpi="600"/>
  <headerFooter alignWithMargins="0">
    <oddFooter>&amp;L&amp;12填表人：倪晶晶
填表日期：2022年3月23日&amp;C&amp;12评估人员：周婕 王新浩&amp;R&amp;12第 &amp;P 页，共 &amp;N 页</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B0F0"/>
    <pageSetUpPr fitToPage="1"/>
  </sheetPr>
  <dimension ref="A1:BF122"/>
  <sheetViews>
    <sheetView showZeros="0" workbookViewId="0">
      <pane xSplit="7" ySplit="6" topLeftCell="H46" activePane="bottomRight" state="frozen"/>
      <selection/>
      <selection pane="topRight"/>
      <selection pane="bottomLeft"/>
      <selection pane="bottomRight" activeCell="BF11" sqref="BF11"/>
    </sheetView>
  </sheetViews>
  <sheetFormatPr defaultColWidth="10" defaultRowHeight="14.25"/>
  <cols>
    <col min="1" max="1" width="5.25" style="157" customWidth="1"/>
    <col min="2" max="2" width="19.25" style="157" customWidth="1"/>
    <col min="3" max="3" width="16.5" style="157" customWidth="1"/>
    <col min="4" max="4" width="13.75" style="157" customWidth="1"/>
    <col min="5" max="7" width="5.375" style="157" customWidth="1"/>
    <col min="8" max="8" width="13.75" style="157" customWidth="1" outlineLevel="1"/>
    <col min="9" max="10" width="5.375" style="158" customWidth="1" outlineLevel="1"/>
    <col min="11" max="11" width="13.375" style="157" customWidth="1" outlineLevel="1"/>
    <col min="12" max="16" width="6.25" style="157" customWidth="1" outlineLevel="1"/>
    <col min="17" max="17" width="13.375" style="157" customWidth="1" outlineLevel="1"/>
    <col min="18" max="19" width="13.75" style="157" customWidth="1" outlineLevel="1"/>
    <col min="20" max="20" width="2.75" style="159" customWidth="1"/>
    <col min="21" max="21" width="10.75" style="160" customWidth="1" outlineLevel="1"/>
    <col min="22" max="22" width="12.75" style="161" customWidth="1" outlineLevel="1"/>
    <col min="23" max="27" width="6" style="162" customWidth="1" outlineLevel="2"/>
    <col min="28" max="28" width="10.75" style="160" customWidth="1" outlineLevel="1"/>
    <col min="29" max="29" width="10.75" style="163" customWidth="1" outlineLevel="2"/>
    <col min="30" max="32" width="6.375" style="164" customWidth="1" outlineLevel="2"/>
    <col min="33" max="33" width="7.25" style="164" customWidth="1" outlineLevel="2"/>
    <col min="34" max="34" width="7.875" style="165" customWidth="1" outlineLevel="1"/>
    <col min="35" max="35" width="6.375" style="161" customWidth="1" outlineLevel="2"/>
    <col min="36" max="36" width="7.75" style="161" customWidth="1" outlineLevel="3"/>
    <col min="37" max="37" width="4.75" style="161" customWidth="1" outlineLevel="3"/>
    <col min="38" max="38" width="8.75" style="161" customWidth="1" outlineLevel="3"/>
    <col min="39" max="39" width="6.375" style="161" customWidth="1" outlineLevel="3"/>
    <col min="40" max="40" width="8.75" style="161" customWidth="1" outlineLevel="3"/>
    <col min="41" max="41" width="6.375" style="161" customWidth="1" outlineLevel="3"/>
    <col min="42" max="42" width="6.375" style="166" customWidth="1" outlineLevel="2"/>
    <col min="43" max="43" width="6.375" style="161" customWidth="1" outlineLevel="2"/>
    <col min="44" max="45" width="7.375" style="161" customWidth="1" outlineLevel="2"/>
    <col min="46" max="46" width="7.25" style="167" customWidth="1" outlineLevel="1"/>
    <col min="47" max="47" width="9.125" style="161" customWidth="1" outlineLevel="1"/>
    <col min="48" max="48" width="18.75" style="162" customWidth="1" outlineLevel="1"/>
    <col min="49" max="49" width="8.25" style="162" customWidth="1" outlineLevel="1"/>
    <col min="50" max="50" width="8.25" style="160" customWidth="1" outlineLevel="1"/>
    <col min="51" max="54" width="5.25" style="161" customWidth="1" outlineLevel="1"/>
    <col min="55" max="55" width="5.875" style="161" customWidth="1" outlineLevel="1"/>
    <col min="56" max="56" width="24.5" style="161" customWidth="1" outlineLevel="1"/>
    <col min="57" max="57" width="10.5" style="161" customWidth="1" outlineLevel="1"/>
    <col min="58" max="58" width="13.125" style="168" customWidth="1" outlineLevel="1"/>
    <col min="59" max="272" width="10" style="157"/>
    <col min="273" max="273" width="4.125" style="157" customWidth="1"/>
    <col min="274" max="274" width="20.5" style="157" customWidth="1"/>
    <col min="275" max="275" width="16.5" style="157" customWidth="1"/>
    <col min="276" max="276" width="14.625" style="157" customWidth="1"/>
    <col min="277" max="277" width="6.125" style="157" customWidth="1"/>
    <col min="278" max="279" width="6" style="157" customWidth="1"/>
    <col min="280" max="280" width="15.75" style="157" customWidth="1"/>
    <col min="281" max="281" width="6.875" style="157" customWidth="1"/>
    <col min="282" max="282" width="12.75" style="157" customWidth="1"/>
    <col min="283" max="283" width="5.5" style="157" customWidth="1"/>
    <col min="284" max="284" width="6.25" style="157" customWidth="1"/>
    <col min="285" max="285" width="9" style="157" customWidth="1"/>
    <col min="286" max="286" width="8.5" style="157" customWidth="1"/>
    <col min="287" max="287" width="6.375" style="157" customWidth="1"/>
    <col min="288" max="288" width="9.875" style="157" customWidth="1"/>
    <col min="289" max="289" width="12.875" style="157" customWidth="1"/>
    <col min="290" max="290" width="12.625" style="157" customWidth="1"/>
    <col min="291" max="528" width="10" style="157"/>
    <col min="529" max="529" width="4.125" style="157" customWidth="1"/>
    <col min="530" max="530" width="20.5" style="157" customWidth="1"/>
    <col min="531" max="531" width="16.5" style="157" customWidth="1"/>
    <col min="532" max="532" width="14.625" style="157" customWidth="1"/>
    <col min="533" max="533" width="6.125" style="157" customWidth="1"/>
    <col min="534" max="535" width="6" style="157" customWidth="1"/>
    <col min="536" max="536" width="15.75" style="157" customWidth="1"/>
    <col min="537" max="537" width="6.875" style="157" customWidth="1"/>
    <col min="538" max="538" width="12.75" style="157" customWidth="1"/>
    <col min="539" max="539" width="5.5" style="157" customWidth="1"/>
    <col min="540" max="540" width="6.25" style="157" customWidth="1"/>
    <col min="541" max="541" width="9" style="157" customWidth="1"/>
    <col min="542" max="542" width="8.5" style="157" customWidth="1"/>
    <col min="543" max="543" width="6.375" style="157" customWidth="1"/>
    <col min="544" max="544" width="9.875" style="157" customWidth="1"/>
    <col min="545" max="545" width="12.875" style="157" customWidth="1"/>
    <col min="546" max="546" width="12.625" style="157" customWidth="1"/>
    <col min="547" max="784" width="10" style="157"/>
    <col min="785" max="785" width="4.125" style="157" customWidth="1"/>
    <col min="786" max="786" width="20.5" style="157" customWidth="1"/>
    <col min="787" max="787" width="16.5" style="157" customWidth="1"/>
    <col min="788" max="788" width="14.625" style="157" customWidth="1"/>
    <col min="789" max="789" width="6.125" style="157" customWidth="1"/>
    <col min="790" max="791" width="6" style="157" customWidth="1"/>
    <col min="792" max="792" width="15.75" style="157" customWidth="1"/>
    <col min="793" max="793" width="6.875" style="157" customWidth="1"/>
    <col min="794" max="794" width="12.75" style="157" customWidth="1"/>
    <col min="795" max="795" width="5.5" style="157" customWidth="1"/>
    <col min="796" max="796" width="6.25" style="157" customWidth="1"/>
    <col min="797" max="797" width="9" style="157" customWidth="1"/>
    <col min="798" max="798" width="8.5" style="157" customWidth="1"/>
    <col min="799" max="799" width="6.375" style="157" customWidth="1"/>
    <col min="800" max="800" width="9.875" style="157" customWidth="1"/>
    <col min="801" max="801" width="12.875" style="157" customWidth="1"/>
    <col min="802" max="802" width="12.625" style="157" customWidth="1"/>
    <col min="803" max="1040" width="10" style="157"/>
    <col min="1041" max="1041" width="4.125" style="157" customWidth="1"/>
    <col min="1042" max="1042" width="20.5" style="157" customWidth="1"/>
    <col min="1043" max="1043" width="16.5" style="157" customWidth="1"/>
    <col min="1044" max="1044" width="14.625" style="157" customWidth="1"/>
    <col min="1045" max="1045" width="6.125" style="157" customWidth="1"/>
    <col min="1046" max="1047" width="6" style="157" customWidth="1"/>
    <col min="1048" max="1048" width="15.75" style="157" customWidth="1"/>
    <col min="1049" max="1049" width="6.875" style="157" customWidth="1"/>
    <col min="1050" max="1050" width="12.75" style="157" customWidth="1"/>
    <col min="1051" max="1051" width="5.5" style="157" customWidth="1"/>
    <col min="1052" max="1052" width="6.25" style="157" customWidth="1"/>
    <col min="1053" max="1053" width="9" style="157" customWidth="1"/>
    <col min="1054" max="1054" width="8.5" style="157" customWidth="1"/>
    <col min="1055" max="1055" width="6.375" style="157" customWidth="1"/>
    <col min="1056" max="1056" width="9.875" style="157" customWidth="1"/>
    <col min="1057" max="1057" width="12.875" style="157" customWidth="1"/>
    <col min="1058" max="1058" width="12.625" style="157" customWidth="1"/>
    <col min="1059" max="1296" width="10" style="157"/>
    <col min="1297" max="1297" width="4.125" style="157" customWidth="1"/>
    <col min="1298" max="1298" width="20.5" style="157" customWidth="1"/>
    <col min="1299" max="1299" width="16.5" style="157" customWidth="1"/>
    <col min="1300" max="1300" width="14.625" style="157" customWidth="1"/>
    <col min="1301" max="1301" width="6.125" style="157" customWidth="1"/>
    <col min="1302" max="1303" width="6" style="157" customWidth="1"/>
    <col min="1304" max="1304" width="15.75" style="157" customWidth="1"/>
    <col min="1305" max="1305" width="6.875" style="157" customWidth="1"/>
    <col min="1306" max="1306" width="12.75" style="157" customWidth="1"/>
    <col min="1307" max="1307" width="5.5" style="157" customWidth="1"/>
    <col min="1308" max="1308" width="6.25" style="157" customWidth="1"/>
    <col min="1309" max="1309" width="9" style="157" customWidth="1"/>
    <col min="1310" max="1310" width="8.5" style="157" customWidth="1"/>
    <col min="1311" max="1311" width="6.375" style="157" customWidth="1"/>
    <col min="1312" max="1312" width="9.875" style="157" customWidth="1"/>
    <col min="1313" max="1313" width="12.875" style="157" customWidth="1"/>
    <col min="1314" max="1314" width="12.625" style="157" customWidth="1"/>
    <col min="1315" max="1552" width="10" style="157"/>
    <col min="1553" max="1553" width="4.125" style="157" customWidth="1"/>
    <col min="1554" max="1554" width="20.5" style="157" customWidth="1"/>
    <col min="1555" max="1555" width="16.5" style="157" customWidth="1"/>
    <col min="1556" max="1556" width="14.625" style="157" customWidth="1"/>
    <col min="1557" max="1557" width="6.125" style="157" customWidth="1"/>
    <col min="1558" max="1559" width="6" style="157" customWidth="1"/>
    <col min="1560" max="1560" width="15.75" style="157" customWidth="1"/>
    <col min="1561" max="1561" width="6.875" style="157" customWidth="1"/>
    <col min="1562" max="1562" width="12.75" style="157" customWidth="1"/>
    <col min="1563" max="1563" width="5.5" style="157" customWidth="1"/>
    <col min="1564" max="1564" width="6.25" style="157" customWidth="1"/>
    <col min="1565" max="1565" width="9" style="157" customWidth="1"/>
    <col min="1566" max="1566" width="8.5" style="157" customWidth="1"/>
    <col min="1567" max="1567" width="6.375" style="157" customWidth="1"/>
    <col min="1568" max="1568" width="9.875" style="157" customWidth="1"/>
    <col min="1569" max="1569" width="12.875" style="157" customWidth="1"/>
    <col min="1570" max="1570" width="12.625" style="157" customWidth="1"/>
    <col min="1571" max="1808" width="10" style="157"/>
    <col min="1809" max="1809" width="4.125" style="157" customWidth="1"/>
    <col min="1810" max="1810" width="20.5" style="157" customWidth="1"/>
    <col min="1811" max="1811" width="16.5" style="157" customWidth="1"/>
    <col min="1812" max="1812" width="14.625" style="157" customWidth="1"/>
    <col min="1813" max="1813" width="6.125" style="157" customWidth="1"/>
    <col min="1814" max="1815" width="6" style="157" customWidth="1"/>
    <col min="1816" max="1816" width="15.75" style="157" customWidth="1"/>
    <col min="1817" max="1817" width="6.875" style="157" customWidth="1"/>
    <col min="1818" max="1818" width="12.75" style="157" customWidth="1"/>
    <col min="1819" max="1819" width="5.5" style="157" customWidth="1"/>
    <col min="1820" max="1820" width="6.25" style="157" customWidth="1"/>
    <col min="1821" max="1821" width="9" style="157" customWidth="1"/>
    <col min="1822" max="1822" width="8.5" style="157" customWidth="1"/>
    <col min="1823" max="1823" width="6.375" style="157" customWidth="1"/>
    <col min="1824" max="1824" width="9.875" style="157" customWidth="1"/>
    <col min="1825" max="1825" width="12.875" style="157" customWidth="1"/>
    <col min="1826" max="1826" width="12.625" style="157" customWidth="1"/>
    <col min="1827" max="2064" width="10" style="157"/>
    <col min="2065" max="2065" width="4.125" style="157" customWidth="1"/>
    <col min="2066" max="2066" width="20.5" style="157" customWidth="1"/>
    <col min="2067" max="2067" width="16.5" style="157" customWidth="1"/>
    <col min="2068" max="2068" width="14.625" style="157" customWidth="1"/>
    <col min="2069" max="2069" width="6.125" style="157" customWidth="1"/>
    <col min="2070" max="2071" width="6" style="157" customWidth="1"/>
    <col min="2072" max="2072" width="15.75" style="157" customWidth="1"/>
    <col min="2073" max="2073" width="6.875" style="157" customWidth="1"/>
    <col min="2074" max="2074" width="12.75" style="157" customWidth="1"/>
    <col min="2075" max="2075" width="5.5" style="157" customWidth="1"/>
    <col min="2076" max="2076" width="6.25" style="157" customWidth="1"/>
    <col min="2077" max="2077" width="9" style="157" customWidth="1"/>
    <col min="2078" max="2078" width="8.5" style="157" customWidth="1"/>
    <col min="2079" max="2079" width="6.375" style="157" customWidth="1"/>
    <col min="2080" max="2080" width="9.875" style="157" customWidth="1"/>
    <col min="2081" max="2081" width="12.875" style="157" customWidth="1"/>
    <col min="2082" max="2082" width="12.625" style="157" customWidth="1"/>
    <col min="2083" max="2320" width="10" style="157"/>
    <col min="2321" max="2321" width="4.125" style="157" customWidth="1"/>
    <col min="2322" max="2322" width="20.5" style="157" customWidth="1"/>
    <col min="2323" max="2323" width="16.5" style="157" customWidth="1"/>
    <col min="2324" max="2324" width="14.625" style="157" customWidth="1"/>
    <col min="2325" max="2325" width="6.125" style="157" customWidth="1"/>
    <col min="2326" max="2327" width="6" style="157" customWidth="1"/>
    <col min="2328" max="2328" width="15.75" style="157" customWidth="1"/>
    <col min="2329" max="2329" width="6.875" style="157" customWidth="1"/>
    <col min="2330" max="2330" width="12.75" style="157" customWidth="1"/>
    <col min="2331" max="2331" width="5.5" style="157" customWidth="1"/>
    <col min="2332" max="2332" width="6.25" style="157" customWidth="1"/>
    <col min="2333" max="2333" width="9" style="157" customWidth="1"/>
    <col min="2334" max="2334" width="8.5" style="157" customWidth="1"/>
    <col min="2335" max="2335" width="6.375" style="157" customWidth="1"/>
    <col min="2336" max="2336" width="9.875" style="157" customWidth="1"/>
    <col min="2337" max="2337" width="12.875" style="157" customWidth="1"/>
    <col min="2338" max="2338" width="12.625" style="157" customWidth="1"/>
    <col min="2339" max="2576" width="10" style="157"/>
    <col min="2577" max="2577" width="4.125" style="157" customWidth="1"/>
    <col min="2578" max="2578" width="20.5" style="157" customWidth="1"/>
    <col min="2579" max="2579" width="16.5" style="157" customWidth="1"/>
    <col min="2580" max="2580" width="14.625" style="157" customWidth="1"/>
    <col min="2581" max="2581" width="6.125" style="157" customWidth="1"/>
    <col min="2582" max="2583" width="6" style="157" customWidth="1"/>
    <col min="2584" max="2584" width="15.75" style="157" customWidth="1"/>
    <col min="2585" max="2585" width="6.875" style="157" customWidth="1"/>
    <col min="2586" max="2586" width="12.75" style="157" customWidth="1"/>
    <col min="2587" max="2587" width="5.5" style="157" customWidth="1"/>
    <col min="2588" max="2588" width="6.25" style="157" customWidth="1"/>
    <col min="2589" max="2589" width="9" style="157" customWidth="1"/>
    <col min="2590" max="2590" width="8.5" style="157" customWidth="1"/>
    <col min="2591" max="2591" width="6.375" style="157" customWidth="1"/>
    <col min="2592" max="2592" width="9.875" style="157" customWidth="1"/>
    <col min="2593" max="2593" width="12.875" style="157" customWidth="1"/>
    <col min="2594" max="2594" width="12.625" style="157" customWidth="1"/>
    <col min="2595" max="2832" width="10" style="157"/>
    <col min="2833" max="2833" width="4.125" style="157" customWidth="1"/>
    <col min="2834" max="2834" width="20.5" style="157" customWidth="1"/>
    <col min="2835" max="2835" width="16.5" style="157" customWidth="1"/>
    <col min="2836" max="2836" width="14.625" style="157" customWidth="1"/>
    <col min="2837" max="2837" width="6.125" style="157" customWidth="1"/>
    <col min="2838" max="2839" width="6" style="157" customWidth="1"/>
    <col min="2840" max="2840" width="15.75" style="157" customWidth="1"/>
    <col min="2841" max="2841" width="6.875" style="157" customWidth="1"/>
    <col min="2842" max="2842" width="12.75" style="157" customWidth="1"/>
    <col min="2843" max="2843" width="5.5" style="157" customWidth="1"/>
    <col min="2844" max="2844" width="6.25" style="157" customWidth="1"/>
    <col min="2845" max="2845" width="9" style="157" customWidth="1"/>
    <col min="2846" max="2846" width="8.5" style="157" customWidth="1"/>
    <col min="2847" max="2847" width="6.375" style="157" customWidth="1"/>
    <col min="2848" max="2848" width="9.875" style="157" customWidth="1"/>
    <col min="2849" max="2849" width="12.875" style="157" customWidth="1"/>
    <col min="2850" max="2850" width="12.625" style="157" customWidth="1"/>
    <col min="2851" max="3088" width="10" style="157"/>
    <col min="3089" max="3089" width="4.125" style="157" customWidth="1"/>
    <col min="3090" max="3090" width="20.5" style="157" customWidth="1"/>
    <col min="3091" max="3091" width="16.5" style="157" customWidth="1"/>
    <col min="3092" max="3092" width="14.625" style="157" customWidth="1"/>
    <col min="3093" max="3093" width="6.125" style="157" customWidth="1"/>
    <col min="3094" max="3095" width="6" style="157" customWidth="1"/>
    <col min="3096" max="3096" width="15.75" style="157" customWidth="1"/>
    <col min="3097" max="3097" width="6.875" style="157" customWidth="1"/>
    <col min="3098" max="3098" width="12.75" style="157" customWidth="1"/>
    <col min="3099" max="3099" width="5.5" style="157" customWidth="1"/>
    <col min="3100" max="3100" width="6.25" style="157" customWidth="1"/>
    <col min="3101" max="3101" width="9" style="157" customWidth="1"/>
    <col min="3102" max="3102" width="8.5" style="157" customWidth="1"/>
    <col min="3103" max="3103" width="6.375" style="157" customWidth="1"/>
    <col min="3104" max="3104" width="9.875" style="157" customWidth="1"/>
    <col min="3105" max="3105" width="12.875" style="157" customWidth="1"/>
    <col min="3106" max="3106" width="12.625" style="157" customWidth="1"/>
    <col min="3107" max="3344" width="10" style="157"/>
    <col min="3345" max="3345" width="4.125" style="157" customWidth="1"/>
    <col min="3346" max="3346" width="20.5" style="157" customWidth="1"/>
    <col min="3347" max="3347" width="16.5" style="157" customWidth="1"/>
    <col min="3348" max="3348" width="14.625" style="157" customWidth="1"/>
    <col min="3349" max="3349" width="6.125" style="157" customWidth="1"/>
    <col min="3350" max="3351" width="6" style="157" customWidth="1"/>
    <col min="3352" max="3352" width="15.75" style="157" customWidth="1"/>
    <col min="3353" max="3353" width="6.875" style="157" customWidth="1"/>
    <col min="3354" max="3354" width="12.75" style="157" customWidth="1"/>
    <col min="3355" max="3355" width="5.5" style="157" customWidth="1"/>
    <col min="3356" max="3356" width="6.25" style="157" customWidth="1"/>
    <col min="3357" max="3357" width="9" style="157" customWidth="1"/>
    <col min="3358" max="3358" width="8.5" style="157" customWidth="1"/>
    <col min="3359" max="3359" width="6.375" style="157" customWidth="1"/>
    <col min="3360" max="3360" width="9.875" style="157" customWidth="1"/>
    <col min="3361" max="3361" width="12.875" style="157" customWidth="1"/>
    <col min="3362" max="3362" width="12.625" style="157" customWidth="1"/>
    <col min="3363" max="3600" width="10" style="157"/>
    <col min="3601" max="3601" width="4.125" style="157" customWidth="1"/>
    <col min="3602" max="3602" width="20.5" style="157" customWidth="1"/>
    <col min="3603" max="3603" width="16.5" style="157" customWidth="1"/>
    <col min="3604" max="3604" width="14.625" style="157" customWidth="1"/>
    <col min="3605" max="3605" width="6.125" style="157" customWidth="1"/>
    <col min="3606" max="3607" width="6" style="157" customWidth="1"/>
    <col min="3608" max="3608" width="15.75" style="157" customWidth="1"/>
    <col min="3609" max="3609" width="6.875" style="157" customWidth="1"/>
    <col min="3610" max="3610" width="12.75" style="157" customWidth="1"/>
    <col min="3611" max="3611" width="5.5" style="157" customWidth="1"/>
    <col min="3612" max="3612" width="6.25" style="157" customWidth="1"/>
    <col min="3613" max="3613" width="9" style="157" customWidth="1"/>
    <col min="3614" max="3614" width="8.5" style="157" customWidth="1"/>
    <col min="3615" max="3615" width="6.375" style="157" customWidth="1"/>
    <col min="3616" max="3616" width="9.875" style="157" customWidth="1"/>
    <col min="3617" max="3617" width="12.875" style="157" customWidth="1"/>
    <col min="3618" max="3618" width="12.625" style="157" customWidth="1"/>
    <col min="3619" max="3856" width="10" style="157"/>
    <col min="3857" max="3857" width="4.125" style="157" customWidth="1"/>
    <col min="3858" max="3858" width="20.5" style="157" customWidth="1"/>
    <col min="3859" max="3859" width="16.5" style="157" customWidth="1"/>
    <col min="3860" max="3860" width="14.625" style="157" customWidth="1"/>
    <col min="3861" max="3861" width="6.125" style="157" customWidth="1"/>
    <col min="3862" max="3863" width="6" style="157" customWidth="1"/>
    <col min="3864" max="3864" width="15.75" style="157" customWidth="1"/>
    <col min="3865" max="3865" width="6.875" style="157" customWidth="1"/>
    <col min="3866" max="3866" width="12.75" style="157" customWidth="1"/>
    <col min="3867" max="3867" width="5.5" style="157" customWidth="1"/>
    <col min="3868" max="3868" width="6.25" style="157" customWidth="1"/>
    <col min="3869" max="3869" width="9" style="157" customWidth="1"/>
    <col min="3870" max="3870" width="8.5" style="157" customWidth="1"/>
    <col min="3871" max="3871" width="6.375" style="157" customWidth="1"/>
    <col min="3872" max="3872" width="9.875" style="157" customWidth="1"/>
    <col min="3873" max="3873" width="12.875" style="157" customWidth="1"/>
    <col min="3874" max="3874" width="12.625" style="157" customWidth="1"/>
    <col min="3875" max="4112" width="10" style="157"/>
    <col min="4113" max="4113" width="4.125" style="157" customWidth="1"/>
    <col min="4114" max="4114" width="20.5" style="157" customWidth="1"/>
    <col min="4115" max="4115" width="16.5" style="157" customWidth="1"/>
    <col min="4116" max="4116" width="14.625" style="157" customWidth="1"/>
    <col min="4117" max="4117" width="6.125" style="157" customWidth="1"/>
    <col min="4118" max="4119" width="6" style="157" customWidth="1"/>
    <col min="4120" max="4120" width="15.75" style="157" customWidth="1"/>
    <col min="4121" max="4121" width="6.875" style="157" customWidth="1"/>
    <col min="4122" max="4122" width="12.75" style="157" customWidth="1"/>
    <col min="4123" max="4123" width="5.5" style="157" customWidth="1"/>
    <col min="4124" max="4124" width="6.25" style="157" customWidth="1"/>
    <col min="4125" max="4125" width="9" style="157" customWidth="1"/>
    <col min="4126" max="4126" width="8.5" style="157" customWidth="1"/>
    <col min="4127" max="4127" width="6.375" style="157" customWidth="1"/>
    <col min="4128" max="4128" width="9.875" style="157" customWidth="1"/>
    <col min="4129" max="4129" width="12.875" style="157" customWidth="1"/>
    <col min="4130" max="4130" width="12.625" style="157" customWidth="1"/>
    <col min="4131" max="4368" width="10" style="157"/>
    <col min="4369" max="4369" width="4.125" style="157" customWidth="1"/>
    <col min="4370" max="4370" width="20.5" style="157" customWidth="1"/>
    <col min="4371" max="4371" width="16.5" style="157" customWidth="1"/>
    <col min="4372" max="4372" width="14.625" style="157" customWidth="1"/>
    <col min="4373" max="4373" width="6.125" style="157" customWidth="1"/>
    <col min="4374" max="4375" width="6" style="157" customWidth="1"/>
    <col min="4376" max="4376" width="15.75" style="157" customWidth="1"/>
    <col min="4377" max="4377" width="6.875" style="157" customWidth="1"/>
    <col min="4378" max="4378" width="12.75" style="157" customWidth="1"/>
    <col min="4379" max="4379" width="5.5" style="157" customWidth="1"/>
    <col min="4380" max="4380" width="6.25" style="157" customWidth="1"/>
    <col min="4381" max="4381" width="9" style="157" customWidth="1"/>
    <col min="4382" max="4382" width="8.5" style="157" customWidth="1"/>
    <col min="4383" max="4383" width="6.375" style="157" customWidth="1"/>
    <col min="4384" max="4384" width="9.875" style="157" customWidth="1"/>
    <col min="4385" max="4385" width="12.875" style="157" customWidth="1"/>
    <col min="4386" max="4386" width="12.625" style="157" customWidth="1"/>
    <col min="4387" max="4624" width="10" style="157"/>
    <col min="4625" max="4625" width="4.125" style="157" customWidth="1"/>
    <col min="4626" max="4626" width="20.5" style="157" customWidth="1"/>
    <col min="4627" max="4627" width="16.5" style="157" customWidth="1"/>
    <col min="4628" max="4628" width="14.625" style="157" customWidth="1"/>
    <col min="4629" max="4629" width="6.125" style="157" customWidth="1"/>
    <col min="4630" max="4631" width="6" style="157" customWidth="1"/>
    <col min="4632" max="4632" width="15.75" style="157" customWidth="1"/>
    <col min="4633" max="4633" width="6.875" style="157" customWidth="1"/>
    <col min="4634" max="4634" width="12.75" style="157" customWidth="1"/>
    <col min="4635" max="4635" width="5.5" style="157" customWidth="1"/>
    <col min="4636" max="4636" width="6.25" style="157" customWidth="1"/>
    <col min="4637" max="4637" width="9" style="157" customWidth="1"/>
    <col min="4638" max="4638" width="8.5" style="157" customWidth="1"/>
    <col min="4639" max="4639" width="6.375" style="157" customWidth="1"/>
    <col min="4640" max="4640" width="9.875" style="157" customWidth="1"/>
    <col min="4641" max="4641" width="12.875" style="157" customWidth="1"/>
    <col min="4642" max="4642" width="12.625" style="157" customWidth="1"/>
    <col min="4643" max="4880" width="10" style="157"/>
    <col min="4881" max="4881" width="4.125" style="157" customWidth="1"/>
    <col min="4882" max="4882" width="20.5" style="157" customWidth="1"/>
    <col min="4883" max="4883" width="16.5" style="157" customWidth="1"/>
    <col min="4884" max="4884" width="14.625" style="157" customWidth="1"/>
    <col min="4885" max="4885" width="6.125" style="157" customWidth="1"/>
    <col min="4886" max="4887" width="6" style="157" customWidth="1"/>
    <col min="4888" max="4888" width="15.75" style="157" customWidth="1"/>
    <col min="4889" max="4889" width="6.875" style="157" customWidth="1"/>
    <col min="4890" max="4890" width="12.75" style="157" customWidth="1"/>
    <col min="4891" max="4891" width="5.5" style="157" customWidth="1"/>
    <col min="4892" max="4892" width="6.25" style="157" customWidth="1"/>
    <col min="4893" max="4893" width="9" style="157" customWidth="1"/>
    <col min="4894" max="4894" width="8.5" style="157" customWidth="1"/>
    <col min="4895" max="4895" width="6.375" style="157" customWidth="1"/>
    <col min="4896" max="4896" width="9.875" style="157" customWidth="1"/>
    <col min="4897" max="4897" width="12.875" style="157" customWidth="1"/>
    <col min="4898" max="4898" width="12.625" style="157" customWidth="1"/>
    <col min="4899" max="5136" width="10" style="157"/>
    <col min="5137" max="5137" width="4.125" style="157" customWidth="1"/>
    <col min="5138" max="5138" width="20.5" style="157" customWidth="1"/>
    <col min="5139" max="5139" width="16.5" style="157" customWidth="1"/>
    <col min="5140" max="5140" width="14.625" style="157" customWidth="1"/>
    <col min="5141" max="5141" width="6.125" style="157" customWidth="1"/>
    <col min="5142" max="5143" width="6" style="157" customWidth="1"/>
    <col min="5144" max="5144" width="15.75" style="157" customWidth="1"/>
    <col min="5145" max="5145" width="6.875" style="157" customWidth="1"/>
    <col min="5146" max="5146" width="12.75" style="157" customWidth="1"/>
    <col min="5147" max="5147" width="5.5" style="157" customWidth="1"/>
    <col min="5148" max="5148" width="6.25" style="157" customWidth="1"/>
    <col min="5149" max="5149" width="9" style="157" customWidth="1"/>
    <col min="5150" max="5150" width="8.5" style="157" customWidth="1"/>
    <col min="5151" max="5151" width="6.375" style="157" customWidth="1"/>
    <col min="5152" max="5152" width="9.875" style="157" customWidth="1"/>
    <col min="5153" max="5153" width="12.875" style="157" customWidth="1"/>
    <col min="5154" max="5154" width="12.625" style="157" customWidth="1"/>
    <col min="5155" max="5392" width="10" style="157"/>
    <col min="5393" max="5393" width="4.125" style="157" customWidth="1"/>
    <col min="5394" max="5394" width="20.5" style="157" customWidth="1"/>
    <col min="5395" max="5395" width="16.5" style="157" customWidth="1"/>
    <col min="5396" max="5396" width="14.625" style="157" customWidth="1"/>
    <col min="5397" max="5397" width="6.125" style="157" customWidth="1"/>
    <col min="5398" max="5399" width="6" style="157" customWidth="1"/>
    <col min="5400" max="5400" width="15.75" style="157" customWidth="1"/>
    <col min="5401" max="5401" width="6.875" style="157" customWidth="1"/>
    <col min="5402" max="5402" width="12.75" style="157" customWidth="1"/>
    <col min="5403" max="5403" width="5.5" style="157" customWidth="1"/>
    <col min="5404" max="5404" width="6.25" style="157" customWidth="1"/>
    <col min="5405" max="5405" width="9" style="157" customWidth="1"/>
    <col min="5406" max="5406" width="8.5" style="157" customWidth="1"/>
    <col min="5407" max="5407" width="6.375" style="157" customWidth="1"/>
    <col min="5408" max="5408" width="9.875" style="157" customWidth="1"/>
    <col min="5409" max="5409" width="12.875" style="157" customWidth="1"/>
    <col min="5410" max="5410" width="12.625" style="157" customWidth="1"/>
    <col min="5411" max="5648" width="10" style="157"/>
    <col min="5649" max="5649" width="4.125" style="157" customWidth="1"/>
    <col min="5650" max="5650" width="20.5" style="157" customWidth="1"/>
    <col min="5651" max="5651" width="16.5" style="157" customWidth="1"/>
    <col min="5652" max="5652" width="14.625" style="157" customWidth="1"/>
    <col min="5653" max="5653" width="6.125" style="157" customWidth="1"/>
    <col min="5654" max="5655" width="6" style="157" customWidth="1"/>
    <col min="5656" max="5656" width="15.75" style="157" customWidth="1"/>
    <col min="5657" max="5657" width="6.875" style="157" customWidth="1"/>
    <col min="5658" max="5658" width="12.75" style="157" customWidth="1"/>
    <col min="5659" max="5659" width="5.5" style="157" customWidth="1"/>
    <col min="5660" max="5660" width="6.25" style="157" customWidth="1"/>
    <col min="5661" max="5661" width="9" style="157" customWidth="1"/>
    <col min="5662" max="5662" width="8.5" style="157" customWidth="1"/>
    <col min="5663" max="5663" width="6.375" style="157" customWidth="1"/>
    <col min="5664" max="5664" width="9.875" style="157" customWidth="1"/>
    <col min="5665" max="5665" width="12.875" style="157" customWidth="1"/>
    <col min="5666" max="5666" width="12.625" style="157" customWidth="1"/>
    <col min="5667" max="5904" width="10" style="157"/>
    <col min="5905" max="5905" width="4.125" style="157" customWidth="1"/>
    <col min="5906" max="5906" width="20.5" style="157" customWidth="1"/>
    <col min="5907" max="5907" width="16.5" style="157" customWidth="1"/>
    <col min="5908" max="5908" width="14.625" style="157" customWidth="1"/>
    <col min="5909" max="5909" width="6.125" style="157" customWidth="1"/>
    <col min="5910" max="5911" width="6" style="157" customWidth="1"/>
    <col min="5912" max="5912" width="15.75" style="157" customWidth="1"/>
    <col min="5913" max="5913" width="6.875" style="157" customWidth="1"/>
    <col min="5914" max="5914" width="12.75" style="157" customWidth="1"/>
    <col min="5915" max="5915" width="5.5" style="157" customWidth="1"/>
    <col min="5916" max="5916" width="6.25" style="157" customWidth="1"/>
    <col min="5917" max="5917" width="9" style="157" customWidth="1"/>
    <col min="5918" max="5918" width="8.5" style="157" customWidth="1"/>
    <col min="5919" max="5919" width="6.375" style="157" customWidth="1"/>
    <col min="5920" max="5920" width="9.875" style="157" customWidth="1"/>
    <col min="5921" max="5921" width="12.875" style="157" customWidth="1"/>
    <col min="5922" max="5922" width="12.625" style="157" customWidth="1"/>
    <col min="5923" max="6160" width="10" style="157"/>
    <col min="6161" max="6161" width="4.125" style="157" customWidth="1"/>
    <col min="6162" max="6162" width="20.5" style="157" customWidth="1"/>
    <col min="6163" max="6163" width="16.5" style="157" customWidth="1"/>
    <col min="6164" max="6164" width="14.625" style="157" customWidth="1"/>
    <col min="6165" max="6165" width="6.125" style="157" customWidth="1"/>
    <col min="6166" max="6167" width="6" style="157" customWidth="1"/>
    <col min="6168" max="6168" width="15.75" style="157" customWidth="1"/>
    <col min="6169" max="6169" width="6.875" style="157" customWidth="1"/>
    <col min="6170" max="6170" width="12.75" style="157" customWidth="1"/>
    <col min="6171" max="6171" width="5.5" style="157" customWidth="1"/>
    <col min="6172" max="6172" width="6.25" style="157" customWidth="1"/>
    <col min="6173" max="6173" width="9" style="157" customWidth="1"/>
    <col min="6174" max="6174" width="8.5" style="157" customWidth="1"/>
    <col min="6175" max="6175" width="6.375" style="157" customWidth="1"/>
    <col min="6176" max="6176" width="9.875" style="157" customWidth="1"/>
    <col min="6177" max="6177" width="12.875" style="157" customWidth="1"/>
    <col min="6178" max="6178" width="12.625" style="157" customWidth="1"/>
    <col min="6179" max="6416" width="10" style="157"/>
    <col min="6417" max="6417" width="4.125" style="157" customWidth="1"/>
    <col min="6418" max="6418" width="20.5" style="157" customWidth="1"/>
    <col min="6419" max="6419" width="16.5" style="157" customWidth="1"/>
    <col min="6420" max="6420" width="14.625" style="157" customWidth="1"/>
    <col min="6421" max="6421" width="6.125" style="157" customWidth="1"/>
    <col min="6422" max="6423" width="6" style="157" customWidth="1"/>
    <col min="6424" max="6424" width="15.75" style="157" customWidth="1"/>
    <col min="6425" max="6425" width="6.875" style="157" customWidth="1"/>
    <col min="6426" max="6426" width="12.75" style="157" customWidth="1"/>
    <col min="6427" max="6427" width="5.5" style="157" customWidth="1"/>
    <col min="6428" max="6428" width="6.25" style="157" customWidth="1"/>
    <col min="6429" max="6429" width="9" style="157" customWidth="1"/>
    <col min="6430" max="6430" width="8.5" style="157" customWidth="1"/>
    <col min="6431" max="6431" width="6.375" style="157" customWidth="1"/>
    <col min="6432" max="6432" width="9.875" style="157" customWidth="1"/>
    <col min="6433" max="6433" width="12.875" style="157" customWidth="1"/>
    <col min="6434" max="6434" width="12.625" style="157" customWidth="1"/>
    <col min="6435" max="6672" width="10" style="157"/>
    <col min="6673" max="6673" width="4.125" style="157" customWidth="1"/>
    <col min="6674" max="6674" width="20.5" style="157" customWidth="1"/>
    <col min="6675" max="6675" width="16.5" style="157" customWidth="1"/>
    <col min="6676" max="6676" width="14.625" style="157" customWidth="1"/>
    <col min="6677" max="6677" width="6.125" style="157" customWidth="1"/>
    <col min="6678" max="6679" width="6" style="157" customWidth="1"/>
    <col min="6680" max="6680" width="15.75" style="157" customWidth="1"/>
    <col min="6681" max="6681" width="6.875" style="157" customWidth="1"/>
    <col min="6682" max="6682" width="12.75" style="157" customWidth="1"/>
    <col min="6683" max="6683" width="5.5" style="157" customWidth="1"/>
    <col min="6684" max="6684" width="6.25" style="157" customWidth="1"/>
    <col min="6685" max="6685" width="9" style="157" customWidth="1"/>
    <col min="6686" max="6686" width="8.5" style="157" customWidth="1"/>
    <col min="6687" max="6687" width="6.375" style="157" customWidth="1"/>
    <col min="6688" max="6688" width="9.875" style="157" customWidth="1"/>
    <col min="6689" max="6689" width="12.875" style="157" customWidth="1"/>
    <col min="6690" max="6690" width="12.625" style="157" customWidth="1"/>
    <col min="6691" max="6928" width="10" style="157"/>
    <col min="6929" max="6929" width="4.125" style="157" customWidth="1"/>
    <col min="6930" max="6930" width="20.5" style="157" customWidth="1"/>
    <col min="6931" max="6931" width="16.5" style="157" customWidth="1"/>
    <col min="6932" max="6932" width="14.625" style="157" customWidth="1"/>
    <col min="6933" max="6933" width="6.125" style="157" customWidth="1"/>
    <col min="6934" max="6935" width="6" style="157" customWidth="1"/>
    <col min="6936" max="6936" width="15.75" style="157" customWidth="1"/>
    <col min="6937" max="6937" width="6.875" style="157" customWidth="1"/>
    <col min="6938" max="6938" width="12.75" style="157" customWidth="1"/>
    <col min="6939" max="6939" width="5.5" style="157" customWidth="1"/>
    <col min="6940" max="6940" width="6.25" style="157" customWidth="1"/>
    <col min="6941" max="6941" width="9" style="157" customWidth="1"/>
    <col min="6942" max="6942" width="8.5" style="157" customWidth="1"/>
    <col min="6943" max="6943" width="6.375" style="157" customWidth="1"/>
    <col min="6944" max="6944" width="9.875" style="157" customWidth="1"/>
    <col min="6945" max="6945" width="12.875" style="157" customWidth="1"/>
    <col min="6946" max="6946" width="12.625" style="157" customWidth="1"/>
    <col min="6947" max="7184" width="10" style="157"/>
    <col min="7185" max="7185" width="4.125" style="157" customWidth="1"/>
    <col min="7186" max="7186" width="20.5" style="157" customWidth="1"/>
    <col min="7187" max="7187" width="16.5" style="157" customWidth="1"/>
    <col min="7188" max="7188" width="14.625" style="157" customWidth="1"/>
    <col min="7189" max="7189" width="6.125" style="157" customWidth="1"/>
    <col min="7190" max="7191" width="6" style="157" customWidth="1"/>
    <col min="7192" max="7192" width="15.75" style="157" customWidth="1"/>
    <col min="7193" max="7193" width="6.875" style="157" customWidth="1"/>
    <col min="7194" max="7194" width="12.75" style="157" customWidth="1"/>
    <col min="7195" max="7195" width="5.5" style="157" customWidth="1"/>
    <col min="7196" max="7196" width="6.25" style="157" customWidth="1"/>
    <col min="7197" max="7197" width="9" style="157" customWidth="1"/>
    <col min="7198" max="7198" width="8.5" style="157" customWidth="1"/>
    <col min="7199" max="7199" width="6.375" style="157" customWidth="1"/>
    <col min="7200" max="7200" width="9.875" style="157" customWidth="1"/>
    <col min="7201" max="7201" width="12.875" style="157" customWidth="1"/>
    <col min="7202" max="7202" width="12.625" style="157" customWidth="1"/>
    <col min="7203" max="7440" width="10" style="157"/>
    <col min="7441" max="7441" width="4.125" style="157" customWidth="1"/>
    <col min="7442" max="7442" width="20.5" style="157" customWidth="1"/>
    <col min="7443" max="7443" width="16.5" style="157" customWidth="1"/>
    <col min="7444" max="7444" width="14.625" style="157" customWidth="1"/>
    <col min="7445" max="7445" width="6.125" style="157" customWidth="1"/>
    <col min="7446" max="7447" width="6" style="157" customWidth="1"/>
    <col min="7448" max="7448" width="15.75" style="157" customWidth="1"/>
    <col min="7449" max="7449" width="6.875" style="157" customWidth="1"/>
    <col min="7450" max="7450" width="12.75" style="157" customWidth="1"/>
    <col min="7451" max="7451" width="5.5" style="157" customWidth="1"/>
    <col min="7452" max="7452" width="6.25" style="157" customWidth="1"/>
    <col min="7453" max="7453" width="9" style="157" customWidth="1"/>
    <col min="7454" max="7454" width="8.5" style="157" customWidth="1"/>
    <col min="7455" max="7455" width="6.375" style="157" customWidth="1"/>
    <col min="7456" max="7456" width="9.875" style="157" customWidth="1"/>
    <col min="7457" max="7457" width="12.875" style="157" customWidth="1"/>
    <col min="7458" max="7458" width="12.625" style="157" customWidth="1"/>
    <col min="7459" max="7696" width="10" style="157"/>
    <col min="7697" max="7697" width="4.125" style="157" customWidth="1"/>
    <col min="7698" max="7698" width="20.5" style="157" customWidth="1"/>
    <col min="7699" max="7699" width="16.5" style="157" customWidth="1"/>
    <col min="7700" max="7700" width="14.625" style="157" customWidth="1"/>
    <col min="7701" max="7701" width="6.125" style="157" customWidth="1"/>
    <col min="7702" max="7703" width="6" style="157" customWidth="1"/>
    <col min="7704" max="7704" width="15.75" style="157" customWidth="1"/>
    <col min="7705" max="7705" width="6.875" style="157" customWidth="1"/>
    <col min="7706" max="7706" width="12.75" style="157" customWidth="1"/>
    <col min="7707" max="7707" width="5.5" style="157" customWidth="1"/>
    <col min="7708" max="7708" width="6.25" style="157" customWidth="1"/>
    <col min="7709" max="7709" width="9" style="157" customWidth="1"/>
    <col min="7710" max="7710" width="8.5" style="157" customWidth="1"/>
    <col min="7711" max="7711" width="6.375" style="157" customWidth="1"/>
    <col min="7712" max="7712" width="9.875" style="157" customWidth="1"/>
    <col min="7713" max="7713" width="12.875" style="157" customWidth="1"/>
    <col min="7714" max="7714" width="12.625" style="157" customWidth="1"/>
    <col min="7715" max="7952" width="10" style="157"/>
    <col min="7953" max="7953" width="4.125" style="157" customWidth="1"/>
    <col min="7954" max="7954" width="20.5" style="157" customWidth="1"/>
    <col min="7955" max="7955" width="16.5" style="157" customWidth="1"/>
    <col min="7956" max="7956" width="14.625" style="157" customWidth="1"/>
    <col min="7957" max="7957" width="6.125" style="157" customWidth="1"/>
    <col min="7958" max="7959" width="6" style="157" customWidth="1"/>
    <col min="7960" max="7960" width="15.75" style="157" customWidth="1"/>
    <col min="7961" max="7961" width="6.875" style="157" customWidth="1"/>
    <col min="7962" max="7962" width="12.75" style="157" customWidth="1"/>
    <col min="7963" max="7963" width="5.5" style="157" customWidth="1"/>
    <col min="7964" max="7964" width="6.25" style="157" customWidth="1"/>
    <col min="7965" max="7965" width="9" style="157" customWidth="1"/>
    <col min="7966" max="7966" width="8.5" style="157" customWidth="1"/>
    <col min="7967" max="7967" width="6.375" style="157" customWidth="1"/>
    <col min="7968" max="7968" width="9.875" style="157" customWidth="1"/>
    <col min="7969" max="7969" width="12.875" style="157" customWidth="1"/>
    <col min="7970" max="7970" width="12.625" style="157" customWidth="1"/>
    <col min="7971" max="8208" width="10" style="157"/>
    <col min="8209" max="8209" width="4.125" style="157" customWidth="1"/>
    <col min="8210" max="8210" width="20.5" style="157" customWidth="1"/>
    <col min="8211" max="8211" width="16.5" style="157" customWidth="1"/>
    <col min="8212" max="8212" width="14.625" style="157" customWidth="1"/>
    <col min="8213" max="8213" width="6.125" style="157" customWidth="1"/>
    <col min="8214" max="8215" width="6" style="157" customWidth="1"/>
    <col min="8216" max="8216" width="15.75" style="157" customWidth="1"/>
    <col min="8217" max="8217" width="6.875" style="157" customWidth="1"/>
    <col min="8218" max="8218" width="12.75" style="157" customWidth="1"/>
    <col min="8219" max="8219" width="5.5" style="157" customWidth="1"/>
    <col min="8220" max="8220" width="6.25" style="157" customWidth="1"/>
    <col min="8221" max="8221" width="9" style="157" customWidth="1"/>
    <col min="8222" max="8222" width="8.5" style="157" customWidth="1"/>
    <col min="8223" max="8223" width="6.375" style="157" customWidth="1"/>
    <col min="8224" max="8224" width="9.875" style="157" customWidth="1"/>
    <col min="8225" max="8225" width="12.875" style="157" customWidth="1"/>
    <col min="8226" max="8226" width="12.625" style="157" customWidth="1"/>
    <col min="8227" max="8464" width="10" style="157"/>
    <col min="8465" max="8465" width="4.125" style="157" customWidth="1"/>
    <col min="8466" max="8466" width="20.5" style="157" customWidth="1"/>
    <col min="8467" max="8467" width="16.5" style="157" customWidth="1"/>
    <col min="8468" max="8468" width="14.625" style="157" customWidth="1"/>
    <col min="8469" max="8469" width="6.125" style="157" customWidth="1"/>
    <col min="8470" max="8471" width="6" style="157" customWidth="1"/>
    <col min="8472" max="8472" width="15.75" style="157" customWidth="1"/>
    <col min="8473" max="8473" width="6.875" style="157" customWidth="1"/>
    <col min="8474" max="8474" width="12.75" style="157" customWidth="1"/>
    <col min="8475" max="8475" width="5.5" style="157" customWidth="1"/>
    <col min="8476" max="8476" width="6.25" style="157" customWidth="1"/>
    <col min="8477" max="8477" width="9" style="157" customWidth="1"/>
    <col min="8478" max="8478" width="8.5" style="157" customWidth="1"/>
    <col min="8479" max="8479" width="6.375" style="157" customWidth="1"/>
    <col min="8480" max="8480" width="9.875" style="157" customWidth="1"/>
    <col min="8481" max="8481" width="12.875" style="157" customWidth="1"/>
    <col min="8482" max="8482" width="12.625" style="157" customWidth="1"/>
    <col min="8483" max="8720" width="10" style="157"/>
    <col min="8721" max="8721" width="4.125" style="157" customWidth="1"/>
    <col min="8722" max="8722" width="20.5" style="157" customWidth="1"/>
    <col min="8723" max="8723" width="16.5" style="157" customWidth="1"/>
    <col min="8724" max="8724" width="14.625" style="157" customWidth="1"/>
    <col min="8725" max="8725" width="6.125" style="157" customWidth="1"/>
    <col min="8726" max="8727" width="6" style="157" customWidth="1"/>
    <col min="8728" max="8728" width="15.75" style="157" customWidth="1"/>
    <col min="8729" max="8729" width="6.875" style="157" customWidth="1"/>
    <col min="8730" max="8730" width="12.75" style="157" customWidth="1"/>
    <col min="8731" max="8731" width="5.5" style="157" customWidth="1"/>
    <col min="8732" max="8732" width="6.25" style="157" customWidth="1"/>
    <col min="8733" max="8733" width="9" style="157" customWidth="1"/>
    <col min="8734" max="8734" width="8.5" style="157" customWidth="1"/>
    <col min="8735" max="8735" width="6.375" style="157" customWidth="1"/>
    <col min="8736" max="8736" width="9.875" style="157" customWidth="1"/>
    <col min="8737" max="8737" width="12.875" style="157" customWidth="1"/>
    <col min="8738" max="8738" width="12.625" style="157" customWidth="1"/>
    <col min="8739" max="8976" width="10" style="157"/>
    <col min="8977" max="8977" width="4.125" style="157" customWidth="1"/>
    <col min="8978" max="8978" width="20.5" style="157" customWidth="1"/>
    <col min="8979" max="8979" width="16.5" style="157" customWidth="1"/>
    <col min="8980" max="8980" width="14.625" style="157" customWidth="1"/>
    <col min="8981" max="8981" width="6.125" style="157" customWidth="1"/>
    <col min="8982" max="8983" width="6" style="157" customWidth="1"/>
    <col min="8984" max="8984" width="15.75" style="157" customWidth="1"/>
    <col min="8985" max="8985" width="6.875" style="157" customWidth="1"/>
    <col min="8986" max="8986" width="12.75" style="157" customWidth="1"/>
    <col min="8987" max="8987" width="5.5" style="157" customWidth="1"/>
    <col min="8988" max="8988" width="6.25" style="157" customWidth="1"/>
    <col min="8989" max="8989" width="9" style="157" customWidth="1"/>
    <col min="8990" max="8990" width="8.5" style="157" customWidth="1"/>
    <col min="8991" max="8991" width="6.375" style="157" customWidth="1"/>
    <col min="8992" max="8992" width="9.875" style="157" customWidth="1"/>
    <col min="8993" max="8993" width="12.875" style="157" customWidth="1"/>
    <col min="8994" max="8994" width="12.625" style="157" customWidth="1"/>
    <col min="8995" max="9232" width="10" style="157"/>
    <col min="9233" max="9233" width="4.125" style="157" customWidth="1"/>
    <col min="9234" max="9234" width="20.5" style="157" customWidth="1"/>
    <col min="9235" max="9235" width="16.5" style="157" customWidth="1"/>
    <col min="9236" max="9236" width="14.625" style="157" customWidth="1"/>
    <col min="9237" max="9237" width="6.125" style="157" customWidth="1"/>
    <col min="9238" max="9239" width="6" style="157" customWidth="1"/>
    <col min="9240" max="9240" width="15.75" style="157" customWidth="1"/>
    <col min="9241" max="9241" width="6.875" style="157" customWidth="1"/>
    <col min="9242" max="9242" width="12.75" style="157" customWidth="1"/>
    <col min="9243" max="9243" width="5.5" style="157" customWidth="1"/>
    <col min="9244" max="9244" width="6.25" style="157" customWidth="1"/>
    <col min="9245" max="9245" width="9" style="157" customWidth="1"/>
    <col min="9246" max="9246" width="8.5" style="157" customWidth="1"/>
    <col min="9247" max="9247" width="6.375" style="157" customWidth="1"/>
    <col min="9248" max="9248" width="9.875" style="157" customWidth="1"/>
    <col min="9249" max="9249" width="12.875" style="157" customWidth="1"/>
    <col min="9250" max="9250" width="12.625" style="157" customWidth="1"/>
    <col min="9251" max="9488" width="10" style="157"/>
    <col min="9489" max="9489" width="4.125" style="157" customWidth="1"/>
    <col min="9490" max="9490" width="20.5" style="157" customWidth="1"/>
    <col min="9491" max="9491" width="16.5" style="157" customWidth="1"/>
    <col min="9492" max="9492" width="14.625" style="157" customWidth="1"/>
    <col min="9493" max="9493" width="6.125" style="157" customWidth="1"/>
    <col min="9494" max="9495" width="6" style="157" customWidth="1"/>
    <col min="9496" max="9496" width="15.75" style="157" customWidth="1"/>
    <col min="9497" max="9497" width="6.875" style="157" customWidth="1"/>
    <col min="9498" max="9498" width="12.75" style="157" customWidth="1"/>
    <col min="9499" max="9499" width="5.5" style="157" customWidth="1"/>
    <col min="9500" max="9500" width="6.25" style="157" customWidth="1"/>
    <col min="9501" max="9501" width="9" style="157" customWidth="1"/>
    <col min="9502" max="9502" width="8.5" style="157" customWidth="1"/>
    <col min="9503" max="9503" width="6.375" style="157" customWidth="1"/>
    <col min="9504" max="9504" width="9.875" style="157" customWidth="1"/>
    <col min="9505" max="9505" width="12.875" style="157" customWidth="1"/>
    <col min="9506" max="9506" width="12.625" style="157" customWidth="1"/>
    <col min="9507" max="9744" width="10" style="157"/>
    <col min="9745" max="9745" width="4.125" style="157" customWidth="1"/>
    <col min="9746" max="9746" width="20.5" style="157" customWidth="1"/>
    <col min="9747" max="9747" width="16.5" style="157" customWidth="1"/>
    <col min="9748" max="9748" width="14.625" style="157" customWidth="1"/>
    <col min="9749" max="9749" width="6.125" style="157" customWidth="1"/>
    <col min="9750" max="9751" width="6" style="157" customWidth="1"/>
    <col min="9752" max="9752" width="15.75" style="157" customWidth="1"/>
    <col min="9753" max="9753" width="6.875" style="157" customWidth="1"/>
    <col min="9754" max="9754" width="12.75" style="157" customWidth="1"/>
    <col min="9755" max="9755" width="5.5" style="157" customWidth="1"/>
    <col min="9756" max="9756" width="6.25" style="157" customWidth="1"/>
    <col min="9757" max="9757" width="9" style="157" customWidth="1"/>
    <col min="9758" max="9758" width="8.5" style="157" customWidth="1"/>
    <col min="9759" max="9759" width="6.375" style="157" customWidth="1"/>
    <col min="9760" max="9760" width="9.875" style="157" customWidth="1"/>
    <col min="9761" max="9761" width="12.875" style="157" customWidth="1"/>
    <col min="9762" max="9762" width="12.625" style="157" customWidth="1"/>
    <col min="9763" max="10000" width="10" style="157"/>
    <col min="10001" max="10001" width="4.125" style="157" customWidth="1"/>
    <col min="10002" max="10002" width="20.5" style="157" customWidth="1"/>
    <col min="10003" max="10003" width="16.5" style="157" customWidth="1"/>
    <col min="10004" max="10004" width="14.625" style="157" customWidth="1"/>
    <col min="10005" max="10005" width="6.125" style="157" customWidth="1"/>
    <col min="10006" max="10007" width="6" style="157" customWidth="1"/>
    <col min="10008" max="10008" width="15.75" style="157" customWidth="1"/>
    <col min="10009" max="10009" width="6.875" style="157" customWidth="1"/>
    <col min="10010" max="10010" width="12.75" style="157" customWidth="1"/>
    <col min="10011" max="10011" width="5.5" style="157" customWidth="1"/>
    <col min="10012" max="10012" width="6.25" style="157" customWidth="1"/>
    <col min="10013" max="10013" width="9" style="157" customWidth="1"/>
    <col min="10014" max="10014" width="8.5" style="157" customWidth="1"/>
    <col min="10015" max="10015" width="6.375" style="157" customWidth="1"/>
    <col min="10016" max="10016" width="9.875" style="157" customWidth="1"/>
    <col min="10017" max="10017" width="12.875" style="157" customWidth="1"/>
    <col min="10018" max="10018" width="12.625" style="157" customWidth="1"/>
    <col min="10019" max="10256" width="10" style="157"/>
    <col min="10257" max="10257" width="4.125" style="157" customWidth="1"/>
    <col min="10258" max="10258" width="20.5" style="157" customWidth="1"/>
    <col min="10259" max="10259" width="16.5" style="157" customWidth="1"/>
    <col min="10260" max="10260" width="14.625" style="157" customWidth="1"/>
    <col min="10261" max="10261" width="6.125" style="157" customWidth="1"/>
    <col min="10262" max="10263" width="6" style="157" customWidth="1"/>
    <col min="10264" max="10264" width="15.75" style="157" customWidth="1"/>
    <col min="10265" max="10265" width="6.875" style="157" customWidth="1"/>
    <col min="10266" max="10266" width="12.75" style="157" customWidth="1"/>
    <col min="10267" max="10267" width="5.5" style="157" customWidth="1"/>
    <col min="10268" max="10268" width="6.25" style="157" customWidth="1"/>
    <col min="10269" max="10269" width="9" style="157" customWidth="1"/>
    <col min="10270" max="10270" width="8.5" style="157" customWidth="1"/>
    <col min="10271" max="10271" width="6.375" style="157" customWidth="1"/>
    <col min="10272" max="10272" width="9.875" style="157" customWidth="1"/>
    <col min="10273" max="10273" width="12.875" style="157" customWidth="1"/>
    <col min="10274" max="10274" width="12.625" style="157" customWidth="1"/>
    <col min="10275" max="10512" width="10" style="157"/>
    <col min="10513" max="10513" width="4.125" style="157" customWidth="1"/>
    <col min="10514" max="10514" width="20.5" style="157" customWidth="1"/>
    <col min="10515" max="10515" width="16.5" style="157" customWidth="1"/>
    <col min="10516" max="10516" width="14.625" style="157" customWidth="1"/>
    <col min="10517" max="10517" width="6.125" style="157" customWidth="1"/>
    <col min="10518" max="10519" width="6" style="157" customWidth="1"/>
    <col min="10520" max="10520" width="15.75" style="157" customWidth="1"/>
    <col min="10521" max="10521" width="6.875" style="157" customWidth="1"/>
    <col min="10522" max="10522" width="12.75" style="157" customWidth="1"/>
    <col min="10523" max="10523" width="5.5" style="157" customWidth="1"/>
    <col min="10524" max="10524" width="6.25" style="157" customWidth="1"/>
    <col min="10525" max="10525" width="9" style="157" customWidth="1"/>
    <col min="10526" max="10526" width="8.5" style="157" customWidth="1"/>
    <col min="10527" max="10527" width="6.375" style="157" customWidth="1"/>
    <col min="10528" max="10528" width="9.875" style="157" customWidth="1"/>
    <col min="10529" max="10529" width="12.875" style="157" customWidth="1"/>
    <col min="10530" max="10530" width="12.625" style="157" customWidth="1"/>
    <col min="10531" max="10768" width="10" style="157"/>
    <col min="10769" max="10769" width="4.125" style="157" customWidth="1"/>
    <col min="10770" max="10770" width="20.5" style="157" customWidth="1"/>
    <col min="10771" max="10771" width="16.5" style="157" customWidth="1"/>
    <col min="10772" max="10772" width="14.625" style="157" customWidth="1"/>
    <col min="10773" max="10773" width="6.125" style="157" customWidth="1"/>
    <col min="10774" max="10775" width="6" style="157" customWidth="1"/>
    <col min="10776" max="10776" width="15.75" style="157" customWidth="1"/>
    <col min="10777" max="10777" width="6.875" style="157" customWidth="1"/>
    <col min="10778" max="10778" width="12.75" style="157" customWidth="1"/>
    <col min="10779" max="10779" width="5.5" style="157" customWidth="1"/>
    <col min="10780" max="10780" width="6.25" style="157" customWidth="1"/>
    <col min="10781" max="10781" width="9" style="157" customWidth="1"/>
    <col min="10782" max="10782" width="8.5" style="157" customWidth="1"/>
    <col min="10783" max="10783" width="6.375" style="157" customWidth="1"/>
    <col min="10784" max="10784" width="9.875" style="157" customWidth="1"/>
    <col min="10785" max="10785" width="12.875" style="157" customWidth="1"/>
    <col min="10786" max="10786" width="12.625" style="157" customWidth="1"/>
    <col min="10787" max="11024" width="10" style="157"/>
    <col min="11025" max="11025" width="4.125" style="157" customWidth="1"/>
    <col min="11026" max="11026" width="20.5" style="157" customWidth="1"/>
    <col min="11027" max="11027" width="16.5" style="157" customWidth="1"/>
    <col min="11028" max="11028" width="14.625" style="157" customWidth="1"/>
    <col min="11029" max="11029" width="6.125" style="157" customWidth="1"/>
    <col min="11030" max="11031" width="6" style="157" customWidth="1"/>
    <col min="11032" max="11032" width="15.75" style="157" customWidth="1"/>
    <col min="11033" max="11033" width="6.875" style="157" customWidth="1"/>
    <col min="11034" max="11034" width="12.75" style="157" customWidth="1"/>
    <col min="11035" max="11035" width="5.5" style="157" customWidth="1"/>
    <col min="11036" max="11036" width="6.25" style="157" customWidth="1"/>
    <col min="11037" max="11037" width="9" style="157" customWidth="1"/>
    <col min="11038" max="11038" width="8.5" style="157" customWidth="1"/>
    <col min="11039" max="11039" width="6.375" style="157" customWidth="1"/>
    <col min="11040" max="11040" width="9.875" style="157" customWidth="1"/>
    <col min="11041" max="11041" width="12.875" style="157" customWidth="1"/>
    <col min="11042" max="11042" width="12.625" style="157" customWidth="1"/>
    <col min="11043" max="11280" width="10" style="157"/>
    <col min="11281" max="11281" width="4.125" style="157" customWidth="1"/>
    <col min="11282" max="11282" width="20.5" style="157" customWidth="1"/>
    <col min="11283" max="11283" width="16.5" style="157" customWidth="1"/>
    <col min="11284" max="11284" width="14.625" style="157" customWidth="1"/>
    <col min="11285" max="11285" width="6.125" style="157" customWidth="1"/>
    <col min="11286" max="11287" width="6" style="157" customWidth="1"/>
    <col min="11288" max="11288" width="15.75" style="157" customWidth="1"/>
    <col min="11289" max="11289" width="6.875" style="157" customWidth="1"/>
    <col min="11290" max="11290" width="12.75" style="157" customWidth="1"/>
    <col min="11291" max="11291" width="5.5" style="157" customWidth="1"/>
    <col min="11292" max="11292" width="6.25" style="157" customWidth="1"/>
    <col min="11293" max="11293" width="9" style="157" customWidth="1"/>
    <col min="11294" max="11294" width="8.5" style="157" customWidth="1"/>
    <col min="11295" max="11295" width="6.375" style="157" customWidth="1"/>
    <col min="11296" max="11296" width="9.875" style="157" customWidth="1"/>
    <col min="11297" max="11297" width="12.875" style="157" customWidth="1"/>
    <col min="11298" max="11298" width="12.625" style="157" customWidth="1"/>
    <col min="11299" max="11536" width="10" style="157"/>
    <col min="11537" max="11537" width="4.125" style="157" customWidth="1"/>
    <col min="11538" max="11538" width="20.5" style="157" customWidth="1"/>
    <col min="11539" max="11539" width="16.5" style="157" customWidth="1"/>
    <col min="11540" max="11540" width="14.625" style="157" customWidth="1"/>
    <col min="11541" max="11541" width="6.125" style="157" customWidth="1"/>
    <col min="11542" max="11543" width="6" style="157" customWidth="1"/>
    <col min="11544" max="11544" width="15.75" style="157" customWidth="1"/>
    <col min="11545" max="11545" width="6.875" style="157" customWidth="1"/>
    <col min="11546" max="11546" width="12.75" style="157" customWidth="1"/>
    <col min="11547" max="11547" width="5.5" style="157" customWidth="1"/>
    <col min="11548" max="11548" width="6.25" style="157" customWidth="1"/>
    <col min="11549" max="11549" width="9" style="157" customWidth="1"/>
    <col min="11550" max="11550" width="8.5" style="157" customWidth="1"/>
    <col min="11551" max="11551" width="6.375" style="157" customWidth="1"/>
    <col min="11552" max="11552" width="9.875" style="157" customWidth="1"/>
    <col min="11553" max="11553" width="12.875" style="157" customWidth="1"/>
    <col min="11554" max="11554" width="12.625" style="157" customWidth="1"/>
    <col min="11555" max="11792" width="10" style="157"/>
    <col min="11793" max="11793" width="4.125" style="157" customWidth="1"/>
    <col min="11794" max="11794" width="20.5" style="157" customWidth="1"/>
    <col min="11795" max="11795" width="16.5" style="157" customWidth="1"/>
    <col min="11796" max="11796" width="14.625" style="157" customWidth="1"/>
    <col min="11797" max="11797" width="6.125" style="157" customWidth="1"/>
    <col min="11798" max="11799" width="6" style="157" customWidth="1"/>
    <col min="11800" max="11800" width="15.75" style="157" customWidth="1"/>
    <col min="11801" max="11801" width="6.875" style="157" customWidth="1"/>
    <col min="11802" max="11802" width="12.75" style="157" customWidth="1"/>
    <col min="11803" max="11803" width="5.5" style="157" customWidth="1"/>
    <col min="11804" max="11804" width="6.25" style="157" customWidth="1"/>
    <col min="11805" max="11805" width="9" style="157" customWidth="1"/>
    <col min="11806" max="11806" width="8.5" style="157" customWidth="1"/>
    <col min="11807" max="11807" width="6.375" style="157" customWidth="1"/>
    <col min="11808" max="11808" width="9.875" style="157" customWidth="1"/>
    <col min="11809" max="11809" width="12.875" style="157" customWidth="1"/>
    <col min="11810" max="11810" width="12.625" style="157" customWidth="1"/>
    <col min="11811" max="12048" width="10" style="157"/>
    <col min="12049" max="12049" width="4.125" style="157" customWidth="1"/>
    <col min="12050" max="12050" width="20.5" style="157" customWidth="1"/>
    <col min="12051" max="12051" width="16.5" style="157" customWidth="1"/>
    <col min="12052" max="12052" width="14.625" style="157" customWidth="1"/>
    <col min="12053" max="12053" width="6.125" style="157" customWidth="1"/>
    <col min="12054" max="12055" width="6" style="157" customWidth="1"/>
    <col min="12056" max="12056" width="15.75" style="157" customWidth="1"/>
    <col min="12057" max="12057" width="6.875" style="157" customWidth="1"/>
    <col min="12058" max="12058" width="12.75" style="157" customWidth="1"/>
    <col min="12059" max="12059" width="5.5" style="157" customWidth="1"/>
    <col min="12060" max="12060" width="6.25" style="157" customWidth="1"/>
    <col min="12061" max="12061" width="9" style="157" customWidth="1"/>
    <col min="12062" max="12062" width="8.5" style="157" customWidth="1"/>
    <col min="12063" max="12063" width="6.375" style="157" customWidth="1"/>
    <col min="12064" max="12064" width="9.875" style="157" customWidth="1"/>
    <col min="12065" max="12065" width="12.875" style="157" customWidth="1"/>
    <col min="12066" max="12066" width="12.625" style="157" customWidth="1"/>
    <col min="12067" max="12304" width="10" style="157"/>
    <col min="12305" max="12305" width="4.125" style="157" customWidth="1"/>
    <col min="12306" max="12306" width="20.5" style="157" customWidth="1"/>
    <col min="12307" max="12307" width="16.5" style="157" customWidth="1"/>
    <col min="12308" max="12308" width="14.625" style="157" customWidth="1"/>
    <col min="12309" max="12309" width="6.125" style="157" customWidth="1"/>
    <col min="12310" max="12311" width="6" style="157" customWidth="1"/>
    <col min="12312" max="12312" width="15.75" style="157" customWidth="1"/>
    <col min="12313" max="12313" width="6.875" style="157" customWidth="1"/>
    <col min="12314" max="12314" width="12.75" style="157" customWidth="1"/>
    <col min="12315" max="12315" width="5.5" style="157" customWidth="1"/>
    <col min="12316" max="12316" width="6.25" style="157" customWidth="1"/>
    <col min="12317" max="12317" width="9" style="157" customWidth="1"/>
    <col min="12318" max="12318" width="8.5" style="157" customWidth="1"/>
    <col min="12319" max="12319" width="6.375" style="157" customWidth="1"/>
    <col min="12320" max="12320" width="9.875" style="157" customWidth="1"/>
    <col min="12321" max="12321" width="12.875" style="157" customWidth="1"/>
    <col min="12322" max="12322" width="12.625" style="157" customWidth="1"/>
    <col min="12323" max="12560" width="10" style="157"/>
    <col min="12561" max="12561" width="4.125" style="157" customWidth="1"/>
    <col min="12562" max="12562" width="20.5" style="157" customWidth="1"/>
    <col min="12563" max="12563" width="16.5" style="157" customWidth="1"/>
    <col min="12564" max="12564" width="14.625" style="157" customWidth="1"/>
    <col min="12565" max="12565" width="6.125" style="157" customWidth="1"/>
    <col min="12566" max="12567" width="6" style="157" customWidth="1"/>
    <col min="12568" max="12568" width="15.75" style="157" customWidth="1"/>
    <col min="12569" max="12569" width="6.875" style="157" customWidth="1"/>
    <col min="12570" max="12570" width="12.75" style="157" customWidth="1"/>
    <col min="12571" max="12571" width="5.5" style="157" customWidth="1"/>
    <col min="12572" max="12572" width="6.25" style="157" customWidth="1"/>
    <col min="12573" max="12573" width="9" style="157" customWidth="1"/>
    <col min="12574" max="12574" width="8.5" style="157" customWidth="1"/>
    <col min="12575" max="12575" width="6.375" style="157" customWidth="1"/>
    <col min="12576" max="12576" width="9.875" style="157" customWidth="1"/>
    <col min="12577" max="12577" width="12.875" style="157" customWidth="1"/>
    <col min="12578" max="12578" width="12.625" style="157" customWidth="1"/>
    <col min="12579" max="12816" width="10" style="157"/>
    <col min="12817" max="12817" width="4.125" style="157" customWidth="1"/>
    <col min="12818" max="12818" width="20.5" style="157" customWidth="1"/>
    <col min="12819" max="12819" width="16.5" style="157" customWidth="1"/>
    <col min="12820" max="12820" width="14.625" style="157" customWidth="1"/>
    <col min="12821" max="12821" width="6.125" style="157" customWidth="1"/>
    <col min="12822" max="12823" width="6" style="157" customWidth="1"/>
    <col min="12824" max="12824" width="15.75" style="157" customWidth="1"/>
    <col min="12825" max="12825" width="6.875" style="157" customWidth="1"/>
    <col min="12826" max="12826" width="12.75" style="157" customWidth="1"/>
    <col min="12827" max="12827" width="5.5" style="157" customWidth="1"/>
    <col min="12828" max="12828" width="6.25" style="157" customWidth="1"/>
    <col min="12829" max="12829" width="9" style="157" customWidth="1"/>
    <col min="12830" max="12830" width="8.5" style="157" customWidth="1"/>
    <col min="12831" max="12831" width="6.375" style="157" customWidth="1"/>
    <col min="12832" max="12832" width="9.875" style="157" customWidth="1"/>
    <col min="12833" max="12833" width="12.875" style="157" customWidth="1"/>
    <col min="12834" max="12834" width="12.625" style="157" customWidth="1"/>
    <col min="12835" max="13072" width="10" style="157"/>
    <col min="13073" max="13073" width="4.125" style="157" customWidth="1"/>
    <col min="13074" max="13074" width="20.5" style="157" customWidth="1"/>
    <col min="13075" max="13075" width="16.5" style="157" customWidth="1"/>
    <col min="13076" max="13076" width="14.625" style="157" customWidth="1"/>
    <col min="13077" max="13077" width="6.125" style="157" customWidth="1"/>
    <col min="13078" max="13079" width="6" style="157" customWidth="1"/>
    <col min="13080" max="13080" width="15.75" style="157" customWidth="1"/>
    <col min="13081" max="13081" width="6.875" style="157" customWidth="1"/>
    <col min="13082" max="13082" width="12.75" style="157" customWidth="1"/>
    <col min="13083" max="13083" width="5.5" style="157" customWidth="1"/>
    <col min="13084" max="13084" width="6.25" style="157" customWidth="1"/>
    <col min="13085" max="13085" width="9" style="157" customWidth="1"/>
    <col min="13086" max="13086" width="8.5" style="157" customWidth="1"/>
    <col min="13087" max="13087" width="6.375" style="157" customWidth="1"/>
    <col min="13088" max="13088" width="9.875" style="157" customWidth="1"/>
    <col min="13089" max="13089" width="12.875" style="157" customWidth="1"/>
    <col min="13090" max="13090" width="12.625" style="157" customWidth="1"/>
    <col min="13091" max="13328" width="10" style="157"/>
    <col min="13329" max="13329" width="4.125" style="157" customWidth="1"/>
    <col min="13330" max="13330" width="20.5" style="157" customWidth="1"/>
    <col min="13331" max="13331" width="16.5" style="157" customWidth="1"/>
    <col min="13332" max="13332" width="14.625" style="157" customWidth="1"/>
    <col min="13333" max="13333" width="6.125" style="157" customWidth="1"/>
    <col min="13334" max="13335" width="6" style="157" customWidth="1"/>
    <col min="13336" max="13336" width="15.75" style="157" customWidth="1"/>
    <col min="13337" max="13337" width="6.875" style="157" customWidth="1"/>
    <col min="13338" max="13338" width="12.75" style="157" customWidth="1"/>
    <col min="13339" max="13339" width="5.5" style="157" customWidth="1"/>
    <col min="13340" max="13340" width="6.25" style="157" customWidth="1"/>
    <col min="13341" max="13341" width="9" style="157" customWidth="1"/>
    <col min="13342" max="13342" width="8.5" style="157" customWidth="1"/>
    <col min="13343" max="13343" width="6.375" style="157" customWidth="1"/>
    <col min="13344" max="13344" width="9.875" style="157" customWidth="1"/>
    <col min="13345" max="13345" width="12.875" style="157" customWidth="1"/>
    <col min="13346" max="13346" width="12.625" style="157" customWidth="1"/>
    <col min="13347" max="13584" width="10" style="157"/>
    <col min="13585" max="13585" width="4.125" style="157" customWidth="1"/>
    <col min="13586" max="13586" width="20.5" style="157" customWidth="1"/>
    <col min="13587" max="13587" width="16.5" style="157" customWidth="1"/>
    <col min="13588" max="13588" width="14.625" style="157" customWidth="1"/>
    <col min="13589" max="13589" width="6.125" style="157" customWidth="1"/>
    <col min="13590" max="13591" width="6" style="157" customWidth="1"/>
    <col min="13592" max="13592" width="15.75" style="157" customWidth="1"/>
    <col min="13593" max="13593" width="6.875" style="157" customWidth="1"/>
    <col min="13594" max="13594" width="12.75" style="157" customWidth="1"/>
    <col min="13595" max="13595" width="5.5" style="157" customWidth="1"/>
    <col min="13596" max="13596" width="6.25" style="157" customWidth="1"/>
    <col min="13597" max="13597" width="9" style="157" customWidth="1"/>
    <col min="13598" max="13598" width="8.5" style="157" customWidth="1"/>
    <col min="13599" max="13599" width="6.375" style="157" customWidth="1"/>
    <col min="13600" max="13600" width="9.875" style="157" customWidth="1"/>
    <col min="13601" max="13601" width="12.875" style="157" customWidth="1"/>
    <col min="13602" max="13602" width="12.625" style="157" customWidth="1"/>
    <col min="13603" max="13840" width="10" style="157"/>
    <col min="13841" max="13841" width="4.125" style="157" customWidth="1"/>
    <col min="13842" max="13842" width="20.5" style="157" customWidth="1"/>
    <col min="13843" max="13843" width="16.5" style="157" customWidth="1"/>
    <col min="13844" max="13844" width="14.625" style="157" customWidth="1"/>
    <col min="13845" max="13845" width="6.125" style="157" customWidth="1"/>
    <col min="13846" max="13847" width="6" style="157" customWidth="1"/>
    <col min="13848" max="13848" width="15.75" style="157" customWidth="1"/>
    <col min="13849" max="13849" width="6.875" style="157" customWidth="1"/>
    <col min="13850" max="13850" width="12.75" style="157" customWidth="1"/>
    <col min="13851" max="13851" width="5.5" style="157" customWidth="1"/>
    <col min="13852" max="13852" width="6.25" style="157" customWidth="1"/>
    <col min="13853" max="13853" width="9" style="157" customWidth="1"/>
    <col min="13854" max="13854" width="8.5" style="157" customWidth="1"/>
    <col min="13855" max="13855" width="6.375" style="157" customWidth="1"/>
    <col min="13856" max="13856" width="9.875" style="157" customWidth="1"/>
    <col min="13857" max="13857" width="12.875" style="157" customWidth="1"/>
    <col min="13858" max="13858" width="12.625" style="157" customWidth="1"/>
    <col min="13859" max="14096" width="10" style="157"/>
    <col min="14097" max="14097" width="4.125" style="157" customWidth="1"/>
    <col min="14098" max="14098" width="20.5" style="157" customWidth="1"/>
    <col min="14099" max="14099" width="16.5" style="157" customWidth="1"/>
    <col min="14100" max="14100" width="14.625" style="157" customWidth="1"/>
    <col min="14101" max="14101" width="6.125" style="157" customWidth="1"/>
    <col min="14102" max="14103" width="6" style="157" customWidth="1"/>
    <col min="14104" max="14104" width="15.75" style="157" customWidth="1"/>
    <col min="14105" max="14105" width="6.875" style="157" customWidth="1"/>
    <col min="14106" max="14106" width="12.75" style="157" customWidth="1"/>
    <col min="14107" max="14107" width="5.5" style="157" customWidth="1"/>
    <col min="14108" max="14108" width="6.25" style="157" customWidth="1"/>
    <col min="14109" max="14109" width="9" style="157" customWidth="1"/>
    <col min="14110" max="14110" width="8.5" style="157" customWidth="1"/>
    <col min="14111" max="14111" width="6.375" style="157" customWidth="1"/>
    <col min="14112" max="14112" width="9.875" style="157" customWidth="1"/>
    <col min="14113" max="14113" width="12.875" style="157" customWidth="1"/>
    <col min="14114" max="14114" width="12.625" style="157" customWidth="1"/>
    <col min="14115" max="14352" width="10" style="157"/>
    <col min="14353" max="14353" width="4.125" style="157" customWidth="1"/>
    <col min="14354" max="14354" width="20.5" style="157" customWidth="1"/>
    <col min="14355" max="14355" width="16.5" style="157" customWidth="1"/>
    <col min="14356" max="14356" width="14.625" style="157" customWidth="1"/>
    <col min="14357" max="14357" width="6.125" style="157" customWidth="1"/>
    <col min="14358" max="14359" width="6" style="157" customWidth="1"/>
    <col min="14360" max="14360" width="15.75" style="157" customWidth="1"/>
    <col min="14361" max="14361" width="6.875" style="157" customWidth="1"/>
    <col min="14362" max="14362" width="12.75" style="157" customWidth="1"/>
    <col min="14363" max="14363" width="5.5" style="157" customWidth="1"/>
    <col min="14364" max="14364" width="6.25" style="157" customWidth="1"/>
    <col min="14365" max="14365" width="9" style="157" customWidth="1"/>
    <col min="14366" max="14366" width="8.5" style="157" customWidth="1"/>
    <col min="14367" max="14367" width="6.375" style="157" customWidth="1"/>
    <col min="14368" max="14368" width="9.875" style="157" customWidth="1"/>
    <col min="14369" max="14369" width="12.875" style="157" customWidth="1"/>
    <col min="14370" max="14370" width="12.625" style="157" customWidth="1"/>
    <col min="14371" max="14608" width="10" style="157"/>
    <col min="14609" max="14609" width="4.125" style="157" customWidth="1"/>
    <col min="14610" max="14610" width="20.5" style="157" customWidth="1"/>
    <col min="14611" max="14611" width="16.5" style="157" customWidth="1"/>
    <col min="14612" max="14612" width="14.625" style="157" customWidth="1"/>
    <col min="14613" max="14613" width="6.125" style="157" customWidth="1"/>
    <col min="14614" max="14615" width="6" style="157" customWidth="1"/>
    <col min="14616" max="14616" width="15.75" style="157" customWidth="1"/>
    <col min="14617" max="14617" width="6.875" style="157" customWidth="1"/>
    <col min="14618" max="14618" width="12.75" style="157" customWidth="1"/>
    <col min="14619" max="14619" width="5.5" style="157" customWidth="1"/>
    <col min="14620" max="14620" width="6.25" style="157" customWidth="1"/>
    <col min="14621" max="14621" width="9" style="157" customWidth="1"/>
    <col min="14622" max="14622" width="8.5" style="157" customWidth="1"/>
    <col min="14623" max="14623" width="6.375" style="157" customWidth="1"/>
    <col min="14624" max="14624" width="9.875" style="157" customWidth="1"/>
    <col min="14625" max="14625" width="12.875" style="157" customWidth="1"/>
    <col min="14626" max="14626" width="12.625" style="157" customWidth="1"/>
    <col min="14627" max="14864" width="10" style="157"/>
    <col min="14865" max="14865" width="4.125" style="157" customWidth="1"/>
    <col min="14866" max="14866" width="20.5" style="157" customWidth="1"/>
    <col min="14867" max="14867" width="16.5" style="157" customWidth="1"/>
    <col min="14868" max="14868" width="14.625" style="157" customWidth="1"/>
    <col min="14869" max="14869" width="6.125" style="157" customWidth="1"/>
    <col min="14870" max="14871" width="6" style="157" customWidth="1"/>
    <col min="14872" max="14872" width="15.75" style="157" customWidth="1"/>
    <col min="14873" max="14873" width="6.875" style="157" customWidth="1"/>
    <col min="14874" max="14874" width="12.75" style="157" customWidth="1"/>
    <col min="14875" max="14875" width="5.5" style="157" customWidth="1"/>
    <col min="14876" max="14876" width="6.25" style="157" customWidth="1"/>
    <col min="14877" max="14877" width="9" style="157" customWidth="1"/>
    <col min="14878" max="14878" width="8.5" style="157" customWidth="1"/>
    <col min="14879" max="14879" width="6.375" style="157" customWidth="1"/>
    <col min="14880" max="14880" width="9.875" style="157" customWidth="1"/>
    <col min="14881" max="14881" width="12.875" style="157" customWidth="1"/>
    <col min="14882" max="14882" width="12.625" style="157" customWidth="1"/>
    <col min="14883" max="15120" width="10" style="157"/>
    <col min="15121" max="15121" width="4.125" style="157" customWidth="1"/>
    <col min="15122" max="15122" width="20.5" style="157" customWidth="1"/>
    <col min="15123" max="15123" width="16.5" style="157" customWidth="1"/>
    <col min="15124" max="15124" width="14.625" style="157" customWidth="1"/>
    <col min="15125" max="15125" width="6.125" style="157" customWidth="1"/>
    <col min="15126" max="15127" width="6" style="157" customWidth="1"/>
    <col min="15128" max="15128" width="15.75" style="157" customWidth="1"/>
    <col min="15129" max="15129" width="6.875" style="157" customWidth="1"/>
    <col min="15130" max="15130" width="12.75" style="157" customWidth="1"/>
    <col min="15131" max="15131" width="5.5" style="157" customWidth="1"/>
    <col min="15132" max="15132" width="6.25" style="157" customWidth="1"/>
    <col min="15133" max="15133" width="9" style="157" customWidth="1"/>
    <col min="15134" max="15134" width="8.5" style="157" customWidth="1"/>
    <col min="15135" max="15135" width="6.375" style="157" customWidth="1"/>
    <col min="15136" max="15136" width="9.875" style="157" customWidth="1"/>
    <col min="15137" max="15137" width="12.875" style="157" customWidth="1"/>
    <col min="15138" max="15138" width="12.625" style="157" customWidth="1"/>
    <col min="15139" max="15376" width="10" style="157"/>
    <col min="15377" max="15377" width="4.125" style="157" customWidth="1"/>
    <col min="15378" max="15378" width="20.5" style="157" customWidth="1"/>
    <col min="15379" max="15379" width="16.5" style="157" customWidth="1"/>
    <col min="15380" max="15380" width="14.625" style="157" customWidth="1"/>
    <col min="15381" max="15381" width="6.125" style="157" customWidth="1"/>
    <col min="15382" max="15383" width="6" style="157" customWidth="1"/>
    <col min="15384" max="15384" width="15.75" style="157" customWidth="1"/>
    <col min="15385" max="15385" width="6.875" style="157" customWidth="1"/>
    <col min="15386" max="15386" width="12.75" style="157" customWidth="1"/>
    <col min="15387" max="15387" width="5.5" style="157" customWidth="1"/>
    <col min="15388" max="15388" width="6.25" style="157" customWidth="1"/>
    <col min="15389" max="15389" width="9" style="157" customWidth="1"/>
    <col min="15390" max="15390" width="8.5" style="157" customWidth="1"/>
    <col min="15391" max="15391" width="6.375" style="157" customWidth="1"/>
    <col min="15392" max="15392" width="9.875" style="157" customWidth="1"/>
    <col min="15393" max="15393" width="12.875" style="157" customWidth="1"/>
    <col min="15394" max="15394" width="12.625" style="157" customWidth="1"/>
    <col min="15395" max="15632" width="10" style="157"/>
    <col min="15633" max="15633" width="4.125" style="157" customWidth="1"/>
    <col min="15634" max="15634" width="20.5" style="157" customWidth="1"/>
    <col min="15635" max="15635" width="16.5" style="157" customWidth="1"/>
    <col min="15636" max="15636" width="14.625" style="157" customWidth="1"/>
    <col min="15637" max="15637" width="6.125" style="157" customWidth="1"/>
    <col min="15638" max="15639" width="6" style="157" customWidth="1"/>
    <col min="15640" max="15640" width="15.75" style="157" customWidth="1"/>
    <col min="15641" max="15641" width="6.875" style="157" customWidth="1"/>
    <col min="15642" max="15642" width="12.75" style="157" customWidth="1"/>
    <col min="15643" max="15643" width="5.5" style="157" customWidth="1"/>
    <col min="15644" max="15644" width="6.25" style="157" customWidth="1"/>
    <col min="15645" max="15645" width="9" style="157" customWidth="1"/>
    <col min="15646" max="15646" width="8.5" style="157" customWidth="1"/>
    <col min="15647" max="15647" width="6.375" style="157" customWidth="1"/>
    <col min="15648" max="15648" width="9.875" style="157" customWidth="1"/>
    <col min="15649" max="15649" width="12.875" style="157" customWidth="1"/>
    <col min="15650" max="15650" width="12.625" style="157" customWidth="1"/>
    <col min="15651" max="15888" width="10" style="157"/>
    <col min="15889" max="15889" width="4.125" style="157" customWidth="1"/>
    <col min="15890" max="15890" width="20.5" style="157" customWidth="1"/>
    <col min="15891" max="15891" width="16.5" style="157" customWidth="1"/>
    <col min="15892" max="15892" width="14.625" style="157" customWidth="1"/>
    <col min="15893" max="15893" width="6.125" style="157" customWidth="1"/>
    <col min="15894" max="15895" width="6" style="157" customWidth="1"/>
    <col min="15896" max="15896" width="15.75" style="157" customWidth="1"/>
    <col min="15897" max="15897" width="6.875" style="157" customWidth="1"/>
    <col min="15898" max="15898" width="12.75" style="157" customWidth="1"/>
    <col min="15899" max="15899" width="5.5" style="157" customWidth="1"/>
    <col min="15900" max="15900" width="6.25" style="157" customWidth="1"/>
    <col min="15901" max="15901" width="9" style="157" customWidth="1"/>
    <col min="15902" max="15902" width="8.5" style="157" customWidth="1"/>
    <col min="15903" max="15903" width="6.375" style="157" customWidth="1"/>
    <col min="15904" max="15904" width="9.875" style="157" customWidth="1"/>
    <col min="15905" max="15905" width="12.875" style="157" customWidth="1"/>
    <col min="15906" max="15906" width="12.625" style="157" customWidth="1"/>
    <col min="15907" max="16144" width="10" style="157"/>
    <col min="16145" max="16145" width="4.125" style="157" customWidth="1"/>
    <col min="16146" max="16146" width="20.5" style="157" customWidth="1"/>
    <col min="16147" max="16147" width="16.5" style="157" customWidth="1"/>
    <col min="16148" max="16148" width="14.625" style="157" customWidth="1"/>
    <col min="16149" max="16149" width="6.125" style="157" customWidth="1"/>
    <col min="16150" max="16151" width="6" style="157" customWidth="1"/>
    <col min="16152" max="16152" width="15.75" style="157" customWidth="1"/>
    <col min="16153" max="16153" width="6.875" style="157" customWidth="1"/>
    <col min="16154" max="16154" width="12.75" style="157" customWidth="1"/>
    <col min="16155" max="16155" width="5.5" style="157" customWidth="1"/>
    <col min="16156" max="16156" width="6.25" style="157" customWidth="1"/>
    <col min="16157" max="16157" width="9" style="157" customWidth="1"/>
    <col min="16158" max="16158" width="8.5" style="157" customWidth="1"/>
    <col min="16159" max="16159" width="6.375" style="157" customWidth="1"/>
    <col min="16160" max="16160" width="9.875" style="157" customWidth="1"/>
    <col min="16161" max="16161" width="12.875" style="157" customWidth="1"/>
    <col min="16162" max="16162" width="12.625" style="157" customWidth="1"/>
    <col min="16163" max="16384" width="10" style="157"/>
  </cols>
  <sheetData>
    <row r="1" ht="31.5" customHeight="1" spans="1:19">
      <c r="A1" s="169" t="s">
        <v>353</v>
      </c>
      <c r="B1" s="169"/>
      <c r="C1" s="169"/>
      <c r="D1" s="169"/>
      <c r="E1" s="169"/>
      <c r="F1" s="169"/>
      <c r="G1" s="169"/>
      <c r="H1" s="169"/>
      <c r="I1" s="185"/>
      <c r="J1" s="185"/>
      <c r="K1" s="169"/>
      <c r="L1" s="169"/>
      <c r="M1" s="169"/>
      <c r="N1" s="169"/>
      <c r="O1" s="169"/>
      <c r="P1" s="169"/>
      <c r="Q1" s="169"/>
      <c r="R1" s="169"/>
      <c r="S1" s="169"/>
    </row>
    <row r="2" s="156" customFormat="1" ht="28.5" hidden="1" customHeight="1" spans="1:58">
      <c r="A2" s="170" t="str">
        <f>设定!B4&amp;YEAR(设定!C4)&amp;"年"&amp;MONTH(设定!C4)&amp;"月"&amp;DAY(设定!C4)&amp;"日"</f>
        <v>评估基准日：2022年3月17日</v>
      </c>
      <c r="B2" s="171"/>
      <c r="C2" s="171"/>
      <c r="D2" s="171"/>
      <c r="E2" s="171"/>
      <c r="F2" s="171"/>
      <c r="G2" s="171"/>
      <c r="H2" s="171"/>
      <c r="I2" s="186"/>
      <c r="J2" s="186"/>
      <c r="K2" s="171"/>
      <c r="L2" s="171"/>
      <c r="M2" s="171"/>
      <c r="N2" s="171"/>
      <c r="O2" s="171"/>
      <c r="P2" s="171"/>
      <c r="Q2" s="171"/>
      <c r="R2" s="171"/>
      <c r="S2" s="201"/>
      <c r="T2" s="202"/>
      <c r="U2" s="203"/>
      <c r="V2" s="204"/>
      <c r="W2" s="205"/>
      <c r="X2" s="205"/>
      <c r="Y2" s="205"/>
      <c r="Z2" s="205"/>
      <c r="AA2" s="205"/>
      <c r="AB2" s="203"/>
      <c r="AC2" s="163"/>
      <c r="AD2" s="165"/>
      <c r="AE2" s="165"/>
      <c r="AF2" s="165"/>
      <c r="AG2" s="165"/>
      <c r="AH2" s="165"/>
      <c r="AI2" s="204"/>
      <c r="AJ2" s="204"/>
      <c r="AK2" s="204"/>
      <c r="AL2" s="204"/>
      <c r="AM2" s="204"/>
      <c r="AN2" s="204"/>
      <c r="AO2" s="204"/>
      <c r="AP2" s="204"/>
      <c r="AQ2" s="204"/>
      <c r="AR2" s="204"/>
      <c r="AS2" s="204"/>
      <c r="AT2" s="165"/>
      <c r="AU2" s="204"/>
      <c r="AV2" s="205"/>
      <c r="AW2" s="205"/>
      <c r="AX2" s="203"/>
      <c r="AY2" s="204"/>
      <c r="AZ2" s="204"/>
      <c r="BA2" s="204"/>
      <c r="BB2" s="204"/>
      <c r="BC2" s="204"/>
      <c r="BD2" s="204"/>
      <c r="BE2" s="204"/>
      <c r="BF2" s="163"/>
    </row>
    <row r="3" s="156" customFormat="1" ht="22.15" customHeight="1" spans="1:58">
      <c r="A3" s="172" t="str">
        <f>设定!$B$3&amp;设定!$C$3</f>
        <v>被评估单位：江阴市金捷利制管有限公司</v>
      </c>
      <c r="B3" s="173"/>
      <c r="C3" s="173"/>
      <c r="D3" s="173"/>
      <c r="E3" s="173"/>
      <c r="F3" s="173"/>
      <c r="G3" s="173"/>
      <c r="H3" s="173"/>
      <c r="I3" s="187"/>
      <c r="J3" s="187"/>
      <c r="K3" s="173"/>
      <c r="L3" s="173"/>
      <c r="M3" s="173"/>
      <c r="N3" s="173"/>
      <c r="O3" s="173"/>
      <c r="P3" s="173"/>
      <c r="Q3" s="206" t="s">
        <v>300</v>
      </c>
      <c r="R3" s="207"/>
      <c r="S3" s="208"/>
      <c r="T3" s="202"/>
      <c r="U3" s="203"/>
      <c r="V3" s="204"/>
      <c r="W3" s="209"/>
      <c r="X3" s="209"/>
      <c r="Y3" s="209"/>
      <c r="Z3" s="209"/>
      <c r="AA3" s="209"/>
      <c r="AB3" s="203"/>
      <c r="AC3" s="163"/>
      <c r="AD3" s="165"/>
      <c r="AE3" s="165"/>
      <c r="AF3" s="165"/>
      <c r="AG3" s="165"/>
      <c r="AH3" s="165"/>
      <c r="AI3" s="243" t="s">
        <v>354</v>
      </c>
      <c r="AJ3" s="243"/>
      <c r="AK3" s="243"/>
      <c r="AL3" s="243"/>
      <c r="AM3" s="243" t="s">
        <v>355</v>
      </c>
      <c r="AO3" s="252"/>
      <c r="AP3" s="253"/>
      <c r="AR3" s="204"/>
      <c r="AS3" s="204"/>
      <c r="AT3" s="254"/>
      <c r="AU3" s="204"/>
      <c r="AV3" s="205"/>
      <c r="AW3" s="205"/>
      <c r="AX3" s="203"/>
      <c r="AY3" s="204"/>
      <c r="AZ3" s="204"/>
      <c r="BA3" s="204"/>
      <c r="BB3" s="204"/>
      <c r="BC3" s="204"/>
      <c r="BD3" s="204"/>
      <c r="BE3" s="273"/>
      <c r="BF3" s="163"/>
    </row>
    <row r="4" s="156" customFormat="1" ht="19.9" customHeight="1" spans="1:58">
      <c r="A4" s="174" t="s">
        <v>20</v>
      </c>
      <c r="B4" s="174" t="s">
        <v>72</v>
      </c>
      <c r="C4" s="174" t="s">
        <v>288</v>
      </c>
      <c r="D4" s="175" t="s">
        <v>289</v>
      </c>
      <c r="E4" s="175" t="s">
        <v>23</v>
      </c>
      <c r="F4" s="174" t="s">
        <v>75</v>
      </c>
      <c r="G4" s="175" t="s">
        <v>290</v>
      </c>
      <c r="H4" s="174" t="s">
        <v>302</v>
      </c>
      <c r="I4" s="188" t="s">
        <v>314</v>
      </c>
      <c r="J4" s="189" t="s">
        <v>356</v>
      </c>
      <c r="K4" s="174" t="s">
        <v>315</v>
      </c>
      <c r="L4" s="190" t="s">
        <v>316</v>
      </c>
      <c r="M4" s="191"/>
      <c r="N4" s="191"/>
      <c r="O4" s="191"/>
      <c r="P4" s="192"/>
      <c r="Q4" s="174" t="s">
        <v>303</v>
      </c>
      <c r="R4" s="210" t="s">
        <v>8</v>
      </c>
      <c r="S4" s="211"/>
      <c r="T4" s="212"/>
      <c r="U4" s="213" t="s">
        <v>357</v>
      </c>
      <c r="V4" s="214" t="s">
        <v>358</v>
      </c>
      <c r="W4" s="215" t="s">
        <v>359</v>
      </c>
      <c r="X4" s="216"/>
      <c r="Y4" s="216"/>
      <c r="Z4" s="216"/>
      <c r="AA4" s="216"/>
      <c r="AB4" s="213" t="s">
        <v>360</v>
      </c>
      <c r="AC4" s="231" t="s">
        <v>359</v>
      </c>
      <c r="AD4" s="232"/>
      <c r="AE4" s="232"/>
      <c r="AF4" s="232"/>
      <c r="AG4" s="244"/>
      <c r="AH4" s="245"/>
      <c r="AI4" s="231" t="s">
        <v>361</v>
      </c>
      <c r="AJ4" s="232"/>
      <c r="AK4" s="232"/>
      <c r="AL4" s="232"/>
      <c r="AM4" s="232"/>
      <c r="AN4" s="232"/>
      <c r="AO4" s="232"/>
      <c r="AP4" s="255"/>
      <c r="AQ4" s="232"/>
      <c r="AR4" s="232"/>
      <c r="AS4" s="244"/>
      <c r="AT4" s="256" t="s">
        <v>362</v>
      </c>
      <c r="AU4" s="235" t="s">
        <v>315</v>
      </c>
      <c r="AV4" s="257" t="s">
        <v>363</v>
      </c>
      <c r="AW4" s="263"/>
      <c r="AX4" s="266" t="s">
        <v>364</v>
      </c>
      <c r="AY4" s="267" t="s">
        <v>365</v>
      </c>
      <c r="AZ4" s="268"/>
      <c r="BA4" s="268"/>
      <c r="BB4" s="268"/>
      <c r="BC4" s="268"/>
      <c r="BD4" s="268"/>
      <c r="BE4" s="245" t="s">
        <v>303</v>
      </c>
      <c r="BF4" s="266" t="s">
        <v>8</v>
      </c>
    </row>
    <row r="5" s="156" customFormat="1" ht="15.4" customHeight="1" spans="1:58">
      <c r="A5" s="176"/>
      <c r="B5" s="176"/>
      <c r="C5" s="176"/>
      <c r="D5" s="177"/>
      <c r="E5" s="177"/>
      <c r="F5" s="176"/>
      <c r="G5" s="177"/>
      <c r="H5" s="178"/>
      <c r="I5" s="193"/>
      <c r="J5" s="194"/>
      <c r="K5" s="178"/>
      <c r="L5" s="195" t="s">
        <v>328</v>
      </c>
      <c r="M5" s="195" t="s">
        <v>329</v>
      </c>
      <c r="N5" s="195" t="s">
        <v>330</v>
      </c>
      <c r="O5" s="195" t="s">
        <v>331</v>
      </c>
      <c r="P5" s="195" t="s">
        <v>332</v>
      </c>
      <c r="Q5" s="178"/>
      <c r="R5" s="211"/>
      <c r="S5" s="211"/>
      <c r="T5" s="212"/>
      <c r="U5" s="217"/>
      <c r="V5" s="218"/>
      <c r="W5" s="219" t="s">
        <v>366</v>
      </c>
      <c r="X5" s="219" t="s">
        <v>367</v>
      </c>
      <c r="Y5" s="219" t="s">
        <v>368</v>
      </c>
      <c r="Z5" s="219" t="s">
        <v>369</v>
      </c>
      <c r="AA5" s="219" t="s">
        <v>370</v>
      </c>
      <c r="AB5" s="233"/>
      <c r="AC5" s="234" t="s">
        <v>220</v>
      </c>
      <c r="AD5" s="235" t="s">
        <v>371</v>
      </c>
      <c r="AE5" s="235" t="s">
        <v>372</v>
      </c>
      <c r="AF5" s="235" t="s">
        <v>373</v>
      </c>
      <c r="AG5" s="235" t="s">
        <v>374</v>
      </c>
      <c r="AH5" s="246"/>
      <c r="AI5" s="235" t="s">
        <v>375</v>
      </c>
      <c r="AJ5" s="231" t="s">
        <v>376</v>
      </c>
      <c r="AK5" s="244"/>
      <c r="AL5" s="231" t="s">
        <v>377</v>
      </c>
      <c r="AM5" s="244"/>
      <c r="AN5" s="231" t="s">
        <v>378</v>
      </c>
      <c r="AO5" s="244"/>
      <c r="AP5" s="258" t="s">
        <v>379</v>
      </c>
      <c r="AQ5" s="235" t="s">
        <v>380</v>
      </c>
      <c r="AR5" s="235" t="s">
        <v>381</v>
      </c>
      <c r="AS5" s="235" t="s">
        <v>382</v>
      </c>
      <c r="AT5" s="259"/>
      <c r="AU5" s="260"/>
      <c r="AV5" s="257" t="s">
        <v>383</v>
      </c>
      <c r="AW5" s="257" t="s">
        <v>384</v>
      </c>
      <c r="AX5" s="269"/>
      <c r="AY5" s="214" t="s">
        <v>328</v>
      </c>
      <c r="AZ5" s="214" t="s">
        <v>329</v>
      </c>
      <c r="BA5" s="214" t="s">
        <v>330</v>
      </c>
      <c r="BB5" s="245" t="s">
        <v>385</v>
      </c>
      <c r="BC5" s="214" t="s">
        <v>332</v>
      </c>
      <c r="BD5" s="214" t="s">
        <v>386</v>
      </c>
      <c r="BE5" s="274"/>
      <c r="BF5" s="269"/>
    </row>
    <row r="6" s="156" customFormat="1" ht="15.4" customHeight="1" spans="1:58">
      <c r="A6" s="179"/>
      <c r="B6" s="179"/>
      <c r="C6" s="179"/>
      <c r="D6" s="180"/>
      <c r="E6" s="180"/>
      <c r="F6" s="179"/>
      <c r="G6" s="180"/>
      <c r="H6" s="181"/>
      <c r="I6" s="196"/>
      <c r="J6" s="197"/>
      <c r="K6" s="181"/>
      <c r="L6" s="198"/>
      <c r="M6" s="198"/>
      <c r="N6" s="198"/>
      <c r="O6" s="198"/>
      <c r="P6" s="198"/>
      <c r="Q6" s="181"/>
      <c r="R6" s="211"/>
      <c r="S6" s="211"/>
      <c r="T6" s="212"/>
      <c r="U6" s="220"/>
      <c r="V6" s="221"/>
      <c r="W6" s="222"/>
      <c r="X6" s="222"/>
      <c r="Y6" s="222"/>
      <c r="Z6" s="222"/>
      <c r="AA6" s="222"/>
      <c r="AB6" s="236"/>
      <c r="AC6" s="237"/>
      <c r="AD6" s="238"/>
      <c r="AE6" s="238"/>
      <c r="AF6" s="238"/>
      <c r="AG6" s="238"/>
      <c r="AH6" s="247"/>
      <c r="AI6" s="238"/>
      <c r="AJ6" s="248" t="s">
        <v>387</v>
      </c>
      <c r="AK6" s="248" t="s">
        <v>388</v>
      </c>
      <c r="AL6" s="248" t="s">
        <v>387</v>
      </c>
      <c r="AM6" s="248" t="s">
        <v>388</v>
      </c>
      <c r="AN6" s="248" t="s">
        <v>387</v>
      </c>
      <c r="AO6" s="248" t="s">
        <v>388</v>
      </c>
      <c r="AP6" s="261"/>
      <c r="AQ6" s="238"/>
      <c r="AR6" s="238"/>
      <c r="AS6" s="238"/>
      <c r="AT6" s="262"/>
      <c r="AU6" s="238"/>
      <c r="AV6" s="263"/>
      <c r="AW6" s="263"/>
      <c r="AX6" s="270"/>
      <c r="AY6" s="221"/>
      <c r="AZ6" s="221"/>
      <c r="BA6" s="221"/>
      <c r="BB6" s="221"/>
      <c r="BC6" s="271"/>
      <c r="BD6" s="221"/>
      <c r="BE6" s="246"/>
      <c r="BF6" s="270"/>
    </row>
    <row r="7" s="156" customFormat="1" ht="22.15" hidden="1" customHeight="1" spans="1:58">
      <c r="A7" s="182">
        <f>设备类勘察表!A5</f>
        <v>1</v>
      </c>
      <c r="B7" s="182" t="str">
        <f>设备类勘察表!B5</f>
        <v>焊管机</v>
      </c>
      <c r="C7" s="182" t="str">
        <f>设备类勘察表!C5</f>
        <v>32机组</v>
      </c>
      <c r="D7" s="182" t="str">
        <f>设备类勘察表!D5</f>
        <v>张家港市中原制管有限公司</v>
      </c>
      <c r="E7" s="182" t="str">
        <f>设备类勘察表!G5</f>
        <v>套</v>
      </c>
      <c r="F7" s="182">
        <f>设备类勘察表!F5</f>
        <v>1</v>
      </c>
      <c r="G7" s="183" t="s">
        <v>343</v>
      </c>
      <c r="H7" s="184">
        <f t="shared" ref="H7:H15" si="0">AB7</f>
        <v>884500</v>
      </c>
      <c r="I7" s="199">
        <f t="shared" ref="I7:I15" si="1">AT7</f>
        <v>0</v>
      </c>
      <c r="J7" s="199">
        <f t="shared" ref="J7:J15" si="2">AW7</f>
        <v>0</v>
      </c>
      <c r="K7" s="200">
        <f t="shared" ref="K7:K15" si="3">AU7</f>
        <v>0</v>
      </c>
      <c r="L7" s="182">
        <f t="shared" ref="L7:P7" si="4">AY7</f>
        <v>3</v>
      </c>
      <c r="M7" s="182">
        <f t="shared" si="4"/>
        <v>1</v>
      </c>
      <c r="N7" s="182">
        <f t="shared" si="4"/>
        <v>6</v>
      </c>
      <c r="O7" s="182">
        <f t="shared" si="4"/>
        <v>2</v>
      </c>
      <c r="P7" s="182">
        <f t="shared" si="4"/>
        <v>12</v>
      </c>
      <c r="Q7" s="223">
        <f t="shared" ref="Q7:Q15" si="5">BE7</f>
        <v>106140</v>
      </c>
      <c r="R7" s="224" t="str">
        <f t="shared" ref="R7:R15" si="6">BF7</f>
        <v/>
      </c>
      <c r="S7" s="224"/>
      <c r="T7" s="202"/>
      <c r="U7" s="225">
        <v>884500</v>
      </c>
      <c r="V7" s="226" t="s">
        <v>389</v>
      </c>
      <c r="W7" s="227"/>
      <c r="X7" s="227"/>
      <c r="Y7" s="227"/>
      <c r="Z7" s="227"/>
      <c r="AA7" s="227"/>
      <c r="AB7" s="239">
        <f t="shared" ref="AB7:AB15" si="7">ROUND((U7*(1+W7+X7+Y7)*(1+Z7)*(1+AA7))*F7,0)</f>
        <v>884500</v>
      </c>
      <c r="AC7" s="240" t="str">
        <f>设备类勘察表!E5</f>
        <v>2000年6月</v>
      </c>
      <c r="AD7" s="241"/>
      <c r="AE7" s="242">
        <f>IF(AD7=0,0,IF(G7="否",ROUND((设定!$C$4-机器设备及辅助设施评估明细表!AC7)/365,2),0))</f>
        <v>0</v>
      </c>
      <c r="AF7" s="242">
        <f>IF(AE7=0,0,IF((AD7-AE7)&lt;2,2,(AD7-AE7)))</f>
        <v>0</v>
      </c>
      <c r="AG7" s="249">
        <f>IF(AE7=0,0,ROUND(AF7/(AE7+AF7)*100,0))</f>
        <v>0</v>
      </c>
      <c r="AH7" s="249"/>
      <c r="AI7" s="250" t="str">
        <f>IF(G7="否",IF($AM$3="是",40%,""),"")</f>
        <v/>
      </c>
      <c r="AJ7" s="251"/>
      <c r="AK7" s="242">
        <f>IF(AJ7="",0,VLOOKUP(AJ7,成新率说明!$H$3:$I$6,2,0))</f>
        <v>0</v>
      </c>
      <c r="AL7" s="251"/>
      <c r="AM7" s="242">
        <f>IF(AL7="",0,VLOOKUP(AL7,成新率说明!$H$7:$I$11,2,0))</f>
        <v>0</v>
      </c>
      <c r="AN7" s="251"/>
      <c r="AO7" s="242">
        <f>IF(AN7="",0,VLOOKUP(AN7,成新率说明!$H$12:$I$15,2,0))</f>
        <v>0</v>
      </c>
      <c r="AP7" s="242">
        <f t="shared" ref="AP7:AP13" si="8">AK7+AM7+AO7</f>
        <v>0</v>
      </c>
      <c r="AQ7" s="250" t="str">
        <f>IF(G7="否",IF($AM$3="是",60%,""),"")</f>
        <v/>
      </c>
      <c r="AR7" s="251"/>
      <c r="AS7" s="251"/>
      <c r="AT7" s="249">
        <f>IF(G7="否",IF($AM$3="是",ROUND(AG7*AI7+AP7*AQ7,0)-AR7-AS7,AG7-AR7-AS7),0)</f>
        <v>0</v>
      </c>
      <c r="AU7" s="239">
        <f>ROUND(AB7*AT7/100,0)</f>
        <v>0</v>
      </c>
      <c r="AV7" s="227"/>
      <c r="AW7" s="272">
        <f>IF(AV7="",0,VLOOKUP(AV7,残值率参考表!$C$4:$D$23,2,0))</f>
        <v>0</v>
      </c>
      <c r="AX7" s="225"/>
      <c r="AY7" s="242">
        <f>ROUND(BA7/2,1)</f>
        <v>3</v>
      </c>
      <c r="AZ7" s="241">
        <v>1</v>
      </c>
      <c r="BA7" s="241">
        <v>6</v>
      </c>
      <c r="BB7" s="241">
        <v>2</v>
      </c>
      <c r="BC7" s="242">
        <f>AY7+AZ7+BA7+BB7</f>
        <v>12</v>
      </c>
      <c r="BD7" s="251"/>
      <c r="BE7" s="239">
        <f t="shared" ref="BE7:BE13" si="9">IF(AX7=0,IF(G7="可",ROUND(AB7*BC7/100,0),ROUND(AB7*(AT7-AW7),0)),ROUND(AX7*F7,0))</f>
        <v>106140</v>
      </c>
      <c r="BF7" s="275" t="str">
        <f t="shared" ref="BF7:BF13" si="10">IF(AW7=0,IF(AX7=0,"",AX7&amp;"元/"&amp;E7),("扣除"&amp;AW7*100&amp;"%残值"))</f>
        <v/>
      </c>
    </row>
    <row r="8" s="156" customFormat="1" ht="22.15" hidden="1" customHeight="1" spans="1:58">
      <c r="A8" s="182">
        <f>设备类勘察表!A6</f>
        <v>2</v>
      </c>
      <c r="B8" s="182" t="str">
        <f>设备类勘察表!B6</f>
        <v>焊管机</v>
      </c>
      <c r="C8" s="182" t="str">
        <f>设备类勘察表!C6</f>
        <v>ZY32机组</v>
      </c>
      <c r="D8" s="182" t="str">
        <f>设备类勘察表!D6</f>
        <v>张家港市中原制管有限公司</v>
      </c>
      <c r="E8" s="182" t="str">
        <f>设备类勘察表!G6</f>
        <v>套</v>
      </c>
      <c r="F8" s="182">
        <f>设备类勘察表!F6</f>
        <v>1</v>
      </c>
      <c r="G8" s="183" t="s">
        <v>343</v>
      </c>
      <c r="H8" s="184">
        <f t="shared" si="0"/>
        <v>884500</v>
      </c>
      <c r="I8" s="199">
        <f t="shared" si="1"/>
        <v>0</v>
      </c>
      <c r="J8" s="199">
        <f t="shared" si="2"/>
        <v>0</v>
      </c>
      <c r="K8" s="200">
        <f t="shared" si="3"/>
        <v>0</v>
      </c>
      <c r="L8" s="182">
        <f t="shared" ref="L8:L15" si="11">AY8</f>
        <v>3</v>
      </c>
      <c r="M8" s="182">
        <f t="shared" ref="M8:M15" si="12">AZ8</f>
        <v>1</v>
      </c>
      <c r="N8" s="182">
        <f t="shared" ref="N8:N15" si="13">BA8</f>
        <v>6</v>
      </c>
      <c r="O8" s="182">
        <f t="shared" ref="O8:O15" si="14">BB8</f>
        <v>2</v>
      </c>
      <c r="P8" s="182">
        <f t="shared" ref="P8:P15" si="15">BC8</f>
        <v>12</v>
      </c>
      <c r="Q8" s="223">
        <f t="shared" si="5"/>
        <v>106140</v>
      </c>
      <c r="R8" s="224" t="str">
        <f t="shared" si="6"/>
        <v/>
      </c>
      <c r="S8" s="224"/>
      <c r="T8" s="202"/>
      <c r="U8" s="225">
        <v>884500</v>
      </c>
      <c r="V8" s="226" t="s">
        <v>389</v>
      </c>
      <c r="W8" s="227"/>
      <c r="X8" s="227"/>
      <c r="Y8" s="227"/>
      <c r="Z8" s="227"/>
      <c r="AA8" s="227"/>
      <c r="AB8" s="239">
        <f t="shared" si="7"/>
        <v>884500</v>
      </c>
      <c r="AC8" s="240" t="str">
        <f>设备类勘察表!E6</f>
        <v>2004年6月</v>
      </c>
      <c r="AD8" s="241"/>
      <c r="AE8" s="242">
        <f>IF(AD8=0,0,IF(G8="否",ROUND((设定!$C$4-机器设备及辅助设施评估明细表!AC8)/365,2),0))</f>
        <v>0</v>
      </c>
      <c r="AF8" s="242">
        <f>IF(AE8=0,0,IF((AD8-AE8)&lt;2,2,(AD8-AE8)))</f>
        <v>0</v>
      </c>
      <c r="AG8" s="249">
        <f>IF(AE8=0,0,ROUND(AF8/(AE8+AF8)*100,0))</f>
        <v>0</v>
      </c>
      <c r="AH8" s="249"/>
      <c r="AI8" s="250" t="str">
        <f>IF(G8="否",IF($AM$3="是",40%,""),"")</f>
        <v/>
      </c>
      <c r="AJ8" s="251"/>
      <c r="AK8" s="242">
        <f>IF(AJ8="",0,VLOOKUP(AJ8,成新率说明!$H$3:$I$6,2,0))</f>
        <v>0</v>
      </c>
      <c r="AL8" s="251"/>
      <c r="AM8" s="242">
        <f>IF(AL8="",0,VLOOKUP(AL8,成新率说明!$H$7:$I$11,2,0))</f>
        <v>0</v>
      </c>
      <c r="AN8" s="251"/>
      <c r="AO8" s="242">
        <f>IF(AN8="",0,VLOOKUP(AN8,成新率说明!$H$12:$I$15,2,0))</f>
        <v>0</v>
      </c>
      <c r="AP8" s="242">
        <f t="shared" si="8"/>
        <v>0</v>
      </c>
      <c r="AQ8" s="250" t="str">
        <f>IF(G8="否",IF($AM$3="是",60%,""),"")</f>
        <v/>
      </c>
      <c r="AR8" s="251"/>
      <c r="AS8" s="251"/>
      <c r="AT8" s="249">
        <f>IF(G8="否",IF($AM$3="是",ROUND(AG8*AI8+AP8*AQ8,0)-AR8-AS8,AG8-AR8-AS8),0)</f>
        <v>0</v>
      </c>
      <c r="AU8" s="239">
        <f>ROUND(AB8*AT8/100,0)</f>
        <v>0</v>
      </c>
      <c r="AV8" s="227"/>
      <c r="AW8" s="272">
        <f>IF(AV8="",0,VLOOKUP(AV8,残值率参考表!$C$4:$D$23,2,0))</f>
        <v>0</v>
      </c>
      <c r="AX8" s="225"/>
      <c r="AY8" s="242">
        <f>ROUND(BA8/2,1)</f>
        <v>3</v>
      </c>
      <c r="AZ8" s="241">
        <v>1</v>
      </c>
      <c r="BA8" s="241">
        <v>6</v>
      </c>
      <c r="BB8" s="241">
        <v>2</v>
      </c>
      <c r="BC8" s="242">
        <f>AY8+AZ8+BA8+BB8</f>
        <v>12</v>
      </c>
      <c r="BD8" s="251"/>
      <c r="BE8" s="239">
        <f t="shared" si="9"/>
        <v>106140</v>
      </c>
      <c r="BF8" s="275" t="str">
        <f t="shared" si="10"/>
        <v/>
      </c>
    </row>
    <row r="9" s="156" customFormat="1" ht="22.15" hidden="1" customHeight="1" spans="1:58">
      <c r="A9" s="182">
        <f>设备类勘察表!A7</f>
        <v>3</v>
      </c>
      <c r="B9" s="182" t="str">
        <f>设备类勘察表!B7</f>
        <v>焊管机</v>
      </c>
      <c r="C9" s="182" t="str">
        <f>设备类勘察表!C7</f>
        <v>45机组</v>
      </c>
      <c r="D9" s="182" t="str">
        <f>设备类勘察表!D7</f>
        <v>扬州杨永焊管设备厂</v>
      </c>
      <c r="E9" s="182" t="str">
        <f>设备类勘察表!G7</f>
        <v>套</v>
      </c>
      <c r="F9" s="182">
        <f>设备类勘察表!F7</f>
        <v>1</v>
      </c>
      <c r="G9" s="183" t="s">
        <v>343</v>
      </c>
      <c r="H9" s="184">
        <f t="shared" si="0"/>
        <v>552500</v>
      </c>
      <c r="I9" s="199">
        <f t="shared" si="1"/>
        <v>0</v>
      </c>
      <c r="J9" s="199">
        <f t="shared" si="2"/>
        <v>0</v>
      </c>
      <c r="K9" s="200">
        <f t="shared" si="3"/>
        <v>0</v>
      </c>
      <c r="L9" s="182">
        <f t="shared" si="11"/>
        <v>3</v>
      </c>
      <c r="M9" s="182">
        <f t="shared" si="12"/>
        <v>1</v>
      </c>
      <c r="N9" s="182">
        <f t="shared" si="13"/>
        <v>6</v>
      </c>
      <c r="O9" s="182">
        <f t="shared" si="14"/>
        <v>2</v>
      </c>
      <c r="P9" s="182">
        <f t="shared" si="15"/>
        <v>12</v>
      </c>
      <c r="Q9" s="223">
        <f t="shared" si="5"/>
        <v>66300</v>
      </c>
      <c r="R9" s="224" t="str">
        <f t="shared" si="6"/>
        <v/>
      </c>
      <c r="S9" s="224"/>
      <c r="T9" s="202"/>
      <c r="U9" s="225">
        <v>552500</v>
      </c>
      <c r="V9" s="226" t="s">
        <v>389</v>
      </c>
      <c r="W9" s="227"/>
      <c r="X9" s="227"/>
      <c r="Y9" s="227"/>
      <c r="Z9" s="227"/>
      <c r="AA9" s="227"/>
      <c r="AB9" s="239">
        <f t="shared" si="7"/>
        <v>552500</v>
      </c>
      <c r="AC9" s="240" t="str">
        <f>设备类勘察表!E7</f>
        <v>2011年6月</v>
      </c>
      <c r="AD9" s="241"/>
      <c r="AE9" s="242">
        <f>IF(AD9=0,0,IF(G9="否",ROUND((设定!$C$4-机器设备及辅助设施评估明细表!AC9)/365,2),0))</f>
        <v>0</v>
      </c>
      <c r="AF9" s="242">
        <f>IF(AE9=0,0,IF((AD9-AE9)&lt;2,2,(AD9-AE9)))</f>
        <v>0</v>
      </c>
      <c r="AG9" s="249">
        <f>IF(AE9=0,0,ROUND(AF9/(AE9+AF9)*100,0))</f>
        <v>0</v>
      </c>
      <c r="AH9" s="249"/>
      <c r="AI9" s="250" t="str">
        <f>IF(G9="否",IF($AM$3="是",40%,""),"")</f>
        <v/>
      </c>
      <c r="AJ9" s="251"/>
      <c r="AK9" s="242">
        <f>IF(AH9="年限法",0,IF(AJ9=0,0,VLOOKUP(AJ9,成新率说明!$H$3:$I$6,2,0)))</f>
        <v>0</v>
      </c>
      <c r="AL9" s="251"/>
      <c r="AM9" s="242">
        <f>IF(AH9="年限法",0,IF(AL9=0,0,VLOOKUP(AL9,成新率说明!$H$7:$I$11,2,0)))</f>
        <v>0</v>
      </c>
      <c r="AN9" s="251"/>
      <c r="AO9" s="242">
        <f>IF(AH9="年限法",0,IF(AN9=0,0,VLOOKUP(AN9,成新率说明!$H$12:$I$15,2,0)))</f>
        <v>0</v>
      </c>
      <c r="AP9" s="242">
        <f t="shared" si="8"/>
        <v>0</v>
      </c>
      <c r="AQ9" s="250" t="str">
        <f>IF(G9="否",IF($AM$3="是",60%,""),"")</f>
        <v/>
      </c>
      <c r="AR9" s="251"/>
      <c r="AS9" s="251"/>
      <c r="AT9" s="249">
        <f>IF(G9="否",IF($AM$3="是",ROUND(AG9*AI9+AP9*AQ9,0)-AR9-AS9,AG9-AR9-AS9),0)</f>
        <v>0</v>
      </c>
      <c r="AU9" s="239">
        <f>ROUND(AB9*AT9/100,0)</f>
        <v>0</v>
      </c>
      <c r="AV9" s="227"/>
      <c r="AW9" s="272">
        <f>IF(AV9="",0,VLOOKUP(AV9,残值率参考表!$C$4:$D$23,2,0))</f>
        <v>0</v>
      </c>
      <c r="AX9" s="225"/>
      <c r="AY9" s="242">
        <f>ROUND(BA9/2,1)</f>
        <v>3</v>
      </c>
      <c r="AZ9" s="241">
        <v>1</v>
      </c>
      <c r="BA9" s="241">
        <v>6</v>
      </c>
      <c r="BB9" s="241">
        <v>2</v>
      </c>
      <c r="BC9" s="242">
        <f>AY9+AZ9+BA9+BB9</f>
        <v>12</v>
      </c>
      <c r="BD9" s="251"/>
      <c r="BE9" s="239">
        <f t="shared" si="9"/>
        <v>66300</v>
      </c>
      <c r="BF9" s="275" t="str">
        <f t="shared" si="10"/>
        <v/>
      </c>
    </row>
    <row r="10" s="156" customFormat="1" ht="22.15" hidden="1" customHeight="1" spans="1:58">
      <c r="A10" s="182">
        <f>设备类勘察表!A8</f>
        <v>4</v>
      </c>
      <c r="B10" s="182" t="str">
        <f>设备类勘察表!B8</f>
        <v>焊管机</v>
      </c>
      <c r="C10" s="182" t="str">
        <f>设备类勘察表!C8</f>
        <v>28机组</v>
      </c>
      <c r="D10" s="182" t="str">
        <f>设备类勘察表!D8</f>
        <v>扬州杨永焊管设备厂</v>
      </c>
      <c r="E10" s="182" t="str">
        <f>设备类勘察表!G8</f>
        <v>套</v>
      </c>
      <c r="F10" s="182">
        <f>设备类勘察表!F8</f>
        <v>1</v>
      </c>
      <c r="G10" s="183" t="s">
        <v>343</v>
      </c>
      <c r="H10" s="184">
        <f t="shared" si="0"/>
        <v>472500</v>
      </c>
      <c r="I10" s="199">
        <f t="shared" si="1"/>
        <v>0</v>
      </c>
      <c r="J10" s="199">
        <f t="shared" si="2"/>
        <v>0</v>
      </c>
      <c r="K10" s="200">
        <f t="shared" si="3"/>
        <v>0</v>
      </c>
      <c r="L10" s="182">
        <f t="shared" si="11"/>
        <v>3</v>
      </c>
      <c r="M10" s="182">
        <f t="shared" si="12"/>
        <v>1</v>
      </c>
      <c r="N10" s="182">
        <f t="shared" si="13"/>
        <v>6</v>
      </c>
      <c r="O10" s="182">
        <f t="shared" si="14"/>
        <v>2</v>
      </c>
      <c r="P10" s="182">
        <f t="shared" si="15"/>
        <v>12</v>
      </c>
      <c r="Q10" s="223">
        <f t="shared" si="5"/>
        <v>56700</v>
      </c>
      <c r="R10" s="224" t="str">
        <f t="shared" si="6"/>
        <v/>
      </c>
      <c r="S10" s="224"/>
      <c r="T10" s="202"/>
      <c r="U10" s="225">
        <v>472500</v>
      </c>
      <c r="V10" s="226" t="s">
        <v>389</v>
      </c>
      <c r="W10" s="227"/>
      <c r="X10" s="227"/>
      <c r="Y10" s="227"/>
      <c r="Z10" s="227"/>
      <c r="AA10" s="227"/>
      <c r="AB10" s="239">
        <f t="shared" si="7"/>
        <v>472500</v>
      </c>
      <c r="AC10" s="240" t="str">
        <f>设备类勘察表!E8</f>
        <v>2013年10月</v>
      </c>
      <c r="AD10" s="241"/>
      <c r="AE10" s="242">
        <f>IF(AD10=0,0,IF(G10="否",ROUND((设定!$C$4-机器设备及辅助设施评估明细表!AC10)/365,2),0))</f>
        <v>0</v>
      </c>
      <c r="AF10" s="242">
        <f>IF(AE10=0,0,IF((AD10-AE10)&lt;2,2,(AD10-AE10)))</f>
        <v>0</v>
      </c>
      <c r="AG10" s="249">
        <f>IF(AE10=0,0,ROUND(AF10/(AE10+AF10)*100,0))</f>
        <v>0</v>
      </c>
      <c r="AH10" s="249"/>
      <c r="AI10" s="250" t="str">
        <f>IF(G10="否",IF($AM$3="是",40%,""),"")</f>
        <v/>
      </c>
      <c r="AJ10" s="251"/>
      <c r="AK10" s="242">
        <f>IF(AH10="年限法",0,IF(AJ10=0,0,VLOOKUP(AJ10,成新率说明!$H$3:$I$6,2,0)))</f>
        <v>0</v>
      </c>
      <c r="AL10" s="251"/>
      <c r="AM10" s="242">
        <f>IF(AL10="",0,VLOOKUP(AL10,成新率说明!$H$7:$I$11,2,0))</f>
        <v>0</v>
      </c>
      <c r="AN10" s="251"/>
      <c r="AO10" s="242">
        <f>IF(AH10="年限法",0,IF(AN10=0,0,VLOOKUP(AN10,成新率说明!$H$12:$I$15,2,0)))</f>
        <v>0</v>
      </c>
      <c r="AP10" s="242">
        <f t="shared" si="8"/>
        <v>0</v>
      </c>
      <c r="AQ10" s="250" t="str">
        <f>IF(G10="否",IF($AM$3="是",60%,""),"")</f>
        <v/>
      </c>
      <c r="AR10" s="251"/>
      <c r="AS10" s="251"/>
      <c r="AT10" s="249">
        <f>IF(G10="否",IF($AM$3="是",ROUND(AG10*AI10+AP10*AQ10,0)-AR10-AS10,AG10-AR10-AS10),0)</f>
        <v>0</v>
      </c>
      <c r="AU10" s="239">
        <f>ROUND(AB10*AT10/100,0)</f>
        <v>0</v>
      </c>
      <c r="AV10" s="227"/>
      <c r="AW10" s="272">
        <f>IF(AV10="",0,VLOOKUP(AV10,残值率参考表!$C$4:$D$23,2,0))</f>
        <v>0</v>
      </c>
      <c r="AX10" s="225"/>
      <c r="AY10" s="242">
        <f>ROUND(BA10/2,1)</f>
        <v>3</v>
      </c>
      <c r="AZ10" s="241">
        <v>1</v>
      </c>
      <c r="BA10" s="241">
        <v>6</v>
      </c>
      <c r="BB10" s="241">
        <v>2</v>
      </c>
      <c r="BC10" s="242">
        <f>AY10+AZ10+BA10+BB10</f>
        <v>12</v>
      </c>
      <c r="BD10" s="251"/>
      <c r="BE10" s="239">
        <f t="shared" si="9"/>
        <v>56700</v>
      </c>
      <c r="BF10" s="275" t="str">
        <f t="shared" si="10"/>
        <v/>
      </c>
    </row>
    <row r="11" s="156" customFormat="1" ht="22.15" customHeight="1" spans="1:58">
      <c r="A11" s="182">
        <f>设备类勘察表!A9</f>
        <v>5</v>
      </c>
      <c r="B11" s="182" t="str">
        <f>设备类勘察表!B9</f>
        <v>钢平台</v>
      </c>
      <c r="C11" s="182" t="str">
        <f>设备类勘察表!C9</f>
        <v>2.7*7.3+3*1</v>
      </c>
      <c r="D11" s="182">
        <f>设备类勘察表!D9</f>
        <v>0</v>
      </c>
      <c r="E11" s="182" t="str">
        <f>设备类勘察表!G9</f>
        <v>m2</v>
      </c>
      <c r="F11" s="182">
        <f>设备类勘察表!F9</f>
        <v>22.71</v>
      </c>
      <c r="G11" s="183" t="s">
        <v>230</v>
      </c>
      <c r="H11" s="184">
        <f t="shared" si="0"/>
        <v>13626</v>
      </c>
      <c r="I11" s="199">
        <f t="shared" si="1"/>
        <v>0.6</v>
      </c>
      <c r="J11" s="199">
        <f t="shared" si="2"/>
        <v>0.07</v>
      </c>
      <c r="K11" s="200">
        <f t="shared" si="3"/>
        <v>7222</v>
      </c>
      <c r="L11" s="182">
        <f t="shared" si="11"/>
        <v>0</v>
      </c>
      <c r="M11" s="182">
        <f t="shared" si="12"/>
        <v>0</v>
      </c>
      <c r="N11" s="182">
        <f t="shared" si="13"/>
        <v>0</v>
      </c>
      <c r="O11" s="182">
        <f t="shared" si="14"/>
        <v>0</v>
      </c>
      <c r="P11" s="182">
        <f t="shared" si="15"/>
        <v>0</v>
      </c>
      <c r="Q11" s="223">
        <f t="shared" si="5"/>
        <v>7222</v>
      </c>
      <c r="R11" s="224" t="str">
        <f t="shared" si="6"/>
        <v>扣除7%残值</v>
      </c>
      <c r="S11" s="224"/>
      <c r="T11" s="202"/>
      <c r="U11" s="225">
        <v>600</v>
      </c>
      <c r="V11" s="226"/>
      <c r="W11" s="227"/>
      <c r="X11" s="227"/>
      <c r="Y11" s="227"/>
      <c r="Z11" s="227"/>
      <c r="AA11" s="227"/>
      <c r="AB11" s="239">
        <f t="shared" si="7"/>
        <v>13626</v>
      </c>
      <c r="AC11" s="240"/>
      <c r="AD11" s="241"/>
      <c r="AE11" s="242"/>
      <c r="AF11" s="242"/>
      <c r="AG11" s="249"/>
      <c r="AH11" s="249" t="s">
        <v>390</v>
      </c>
      <c r="AI11" s="250"/>
      <c r="AJ11" s="251" t="s">
        <v>275</v>
      </c>
      <c r="AK11" s="242">
        <f>IF(AH11="年限法",0,IF(AJ11=0,0,VLOOKUP(AJ11,成新率说明!$H$3:$I$6,2,0)))</f>
        <v>12</v>
      </c>
      <c r="AL11" s="251" t="s">
        <v>275</v>
      </c>
      <c r="AM11" s="242">
        <f>IF(AL11="",0,VLOOKUP(AL11,成新率说明!$H$7:$I$11,2,0))</f>
        <v>30</v>
      </c>
      <c r="AN11" s="251" t="s">
        <v>275</v>
      </c>
      <c r="AO11" s="242">
        <f>IF(AH11="年限法",0,IF(AN11=0,0,VLOOKUP(AN11,成新率说明!$H$12:$I$15,2,0)))</f>
        <v>18</v>
      </c>
      <c r="AP11" s="264">
        <f t="shared" si="8"/>
        <v>60</v>
      </c>
      <c r="AQ11" s="250">
        <f>IF(G11="否",IF($AM$3="是",60%,""),"")</f>
        <v>0.6</v>
      </c>
      <c r="AR11" s="251"/>
      <c r="AS11" s="251"/>
      <c r="AT11" s="265">
        <f>IF(AH11="年限法",AG11/100,IF(AH11="勘察法",ROUND(AP11/100,2),ROUND(AG11*AI11/100+AP11*AQ11/100,2)))</f>
        <v>0.6</v>
      </c>
      <c r="AU11" s="239">
        <f>ROUND(AB11*(AT11-AW11),0)</f>
        <v>7222</v>
      </c>
      <c r="AV11" s="227" t="s">
        <v>391</v>
      </c>
      <c r="AW11" s="272">
        <f>IF(AV11="",0,VLOOKUP(AV11,残值率参考表!$C$4:$D$23,2,0))</f>
        <v>0.07</v>
      </c>
      <c r="AX11" s="225"/>
      <c r="AY11" s="242"/>
      <c r="AZ11" s="241"/>
      <c r="BA11" s="241"/>
      <c r="BB11" s="241"/>
      <c r="BC11" s="242"/>
      <c r="BD11" s="251"/>
      <c r="BE11" s="239">
        <f t="shared" si="9"/>
        <v>7222</v>
      </c>
      <c r="BF11" s="275" t="str">
        <f t="shared" si="10"/>
        <v>扣除7%残值</v>
      </c>
    </row>
    <row r="12" s="156" customFormat="1" ht="22.15" customHeight="1" spans="1:58">
      <c r="A12" s="182">
        <f>设备类勘察表!A10</f>
        <v>6</v>
      </c>
      <c r="B12" s="182" t="str">
        <f>设备类勘察表!B10</f>
        <v>钢平台</v>
      </c>
      <c r="C12" s="182" t="str">
        <f>设备类勘察表!C10</f>
        <v>5.7*4.9+3*1</v>
      </c>
      <c r="D12" s="182">
        <f>设备类勘察表!D10</f>
        <v>0</v>
      </c>
      <c r="E12" s="182" t="str">
        <f>设备类勘察表!G10</f>
        <v>m2</v>
      </c>
      <c r="F12" s="182">
        <f>设备类勘察表!F10</f>
        <v>30.93</v>
      </c>
      <c r="G12" s="183" t="s">
        <v>230</v>
      </c>
      <c r="H12" s="184">
        <f t="shared" si="0"/>
        <v>18558</v>
      </c>
      <c r="I12" s="199">
        <f t="shared" si="1"/>
        <v>0.6</v>
      </c>
      <c r="J12" s="199">
        <f t="shared" si="2"/>
        <v>0.07</v>
      </c>
      <c r="K12" s="200">
        <f t="shared" si="3"/>
        <v>9836</v>
      </c>
      <c r="L12" s="182">
        <f t="shared" si="11"/>
        <v>0</v>
      </c>
      <c r="M12" s="182">
        <f t="shared" si="12"/>
        <v>0</v>
      </c>
      <c r="N12" s="182">
        <f t="shared" si="13"/>
        <v>0</v>
      </c>
      <c r="O12" s="182">
        <f t="shared" si="14"/>
        <v>0</v>
      </c>
      <c r="P12" s="182">
        <f t="shared" si="15"/>
        <v>0</v>
      </c>
      <c r="Q12" s="223">
        <f t="shared" si="5"/>
        <v>9836</v>
      </c>
      <c r="R12" s="224" t="str">
        <f t="shared" si="6"/>
        <v>扣除7%残值</v>
      </c>
      <c r="S12" s="224"/>
      <c r="T12" s="202"/>
      <c r="U12" s="225">
        <v>600</v>
      </c>
      <c r="V12" s="226"/>
      <c r="W12" s="227"/>
      <c r="X12" s="227"/>
      <c r="Y12" s="227"/>
      <c r="Z12" s="227"/>
      <c r="AA12" s="227"/>
      <c r="AB12" s="239">
        <f t="shared" si="7"/>
        <v>18558</v>
      </c>
      <c r="AC12" s="240"/>
      <c r="AD12" s="241"/>
      <c r="AE12" s="242"/>
      <c r="AF12" s="242"/>
      <c r="AG12" s="249"/>
      <c r="AH12" s="249" t="s">
        <v>390</v>
      </c>
      <c r="AI12" s="250"/>
      <c r="AJ12" s="251" t="s">
        <v>275</v>
      </c>
      <c r="AK12" s="242">
        <f>IF(AH12="年限法",0,IF(AJ12=0,0,VLOOKUP(AJ12,成新率说明!$H$3:$I$6,2,0)))</f>
        <v>12</v>
      </c>
      <c r="AL12" s="251" t="s">
        <v>275</v>
      </c>
      <c r="AM12" s="242">
        <f>IF(AL12="",0,VLOOKUP(AL12,成新率说明!$H$7:$I$11,2,0))</f>
        <v>30</v>
      </c>
      <c r="AN12" s="251" t="s">
        <v>275</v>
      </c>
      <c r="AO12" s="242">
        <f>IF(AH12="年限法",0,IF(AN12=0,0,VLOOKUP(AN12,成新率说明!$H$12:$I$15,2,0)))</f>
        <v>18</v>
      </c>
      <c r="AP12" s="264">
        <f t="shared" si="8"/>
        <v>60</v>
      </c>
      <c r="AQ12" s="250">
        <f>IF(G12="否",IF($AM$3="是",60%,""),"")</f>
        <v>0.6</v>
      </c>
      <c r="AR12" s="251"/>
      <c r="AS12" s="251"/>
      <c r="AT12" s="265">
        <f>IF(AH12="年限法",AG12/100,IF(AH12="勘察法",ROUND(AP12/100,2),ROUND(AG12*AI12/100+AP12*AQ12/100,2)))</f>
        <v>0.6</v>
      </c>
      <c r="AU12" s="239">
        <f>ROUND(AB12*(AT12-AW12),0)</f>
        <v>9836</v>
      </c>
      <c r="AV12" s="227" t="s">
        <v>391</v>
      </c>
      <c r="AW12" s="272">
        <f>IF(AV12="",0,VLOOKUP(AV12,残值率参考表!$C$4:$D$23,2,0))</f>
        <v>0.07</v>
      </c>
      <c r="AX12" s="225"/>
      <c r="AY12" s="242"/>
      <c r="AZ12" s="241"/>
      <c r="BA12" s="241"/>
      <c r="BB12" s="241"/>
      <c r="BC12" s="242"/>
      <c r="BD12" s="251"/>
      <c r="BE12" s="239">
        <f t="shared" si="9"/>
        <v>9836</v>
      </c>
      <c r="BF12" s="275" t="str">
        <f t="shared" si="10"/>
        <v>扣除7%残值</v>
      </c>
    </row>
    <row r="13" s="156" customFormat="1" ht="22.15" customHeight="1" spans="1:58">
      <c r="A13" s="182">
        <f>设备类勘察表!A11</f>
        <v>7</v>
      </c>
      <c r="B13" s="182" t="str">
        <f>设备类勘察表!B11</f>
        <v>钢平台</v>
      </c>
      <c r="C13" s="182" t="str">
        <f>设备类勘察表!C11</f>
        <v>4.6*3.9+3.1</v>
      </c>
      <c r="D13" s="182">
        <f>设备类勘察表!D11</f>
        <v>0</v>
      </c>
      <c r="E13" s="182" t="str">
        <f>设备类勘察表!G11</f>
        <v>m2</v>
      </c>
      <c r="F13" s="182">
        <f>设备类勘察表!F11</f>
        <v>20.94</v>
      </c>
      <c r="G13" s="183" t="s">
        <v>230</v>
      </c>
      <c r="H13" s="184">
        <f t="shared" si="0"/>
        <v>12564</v>
      </c>
      <c r="I13" s="199">
        <f t="shared" si="1"/>
        <v>0.6</v>
      </c>
      <c r="J13" s="199">
        <f t="shared" si="2"/>
        <v>0.07</v>
      </c>
      <c r="K13" s="200">
        <f t="shared" si="3"/>
        <v>6659</v>
      </c>
      <c r="L13" s="182">
        <f t="shared" si="11"/>
        <v>0</v>
      </c>
      <c r="M13" s="182">
        <f t="shared" si="12"/>
        <v>0</v>
      </c>
      <c r="N13" s="182">
        <f t="shared" si="13"/>
        <v>0</v>
      </c>
      <c r="O13" s="182">
        <f t="shared" si="14"/>
        <v>0</v>
      </c>
      <c r="P13" s="182">
        <f t="shared" si="15"/>
        <v>0</v>
      </c>
      <c r="Q13" s="223">
        <f t="shared" si="5"/>
        <v>6659</v>
      </c>
      <c r="R13" s="224" t="str">
        <f t="shared" si="6"/>
        <v>扣除7%残值</v>
      </c>
      <c r="S13" s="224"/>
      <c r="T13" s="202"/>
      <c r="U13" s="225">
        <v>600</v>
      </c>
      <c r="V13" s="226"/>
      <c r="W13" s="227"/>
      <c r="X13" s="227"/>
      <c r="Y13" s="227"/>
      <c r="Z13" s="227"/>
      <c r="AA13" s="227"/>
      <c r="AB13" s="239">
        <f t="shared" si="7"/>
        <v>12564</v>
      </c>
      <c r="AC13" s="240"/>
      <c r="AD13" s="241"/>
      <c r="AE13" s="242"/>
      <c r="AF13" s="242"/>
      <c r="AG13" s="249"/>
      <c r="AH13" s="249" t="s">
        <v>390</v>
      </c>
      <c r="AI13" s="250"/>
      <c r="AJ13" s="251" t="s">
        <v>275</v>
      </c>
      <c r="AK13" s="242">
        <f>IF(AH13="年限法",0,IF(AJ13=0,0,VLOOKUP(AJ13,成新率说明!$H$3:$I$6,2,0)))</f>
        <v>12</v>
      </c>
      <c r="AL13" s="251" t="s">
        <v>275</v>
      </c>
      <c r="AM13" s="242">
        <f>IF(AL13="",0,VLOOKUP(AL13,成新率说明!$H$7:$I$11,2,0))</f>
        <v>30</v>
      </c>
      <c r="AN13" s="251" t="s">
        <v>275</v>
      </c>
      <c r="AO13" s="242">
        <f>IF(AH13="年限法",0,IF(AN13=0,0,VLOOKUP(AN13,成新率说明!$H$12:$I$15,2,0)))</f>
        <v>18</v>
      </c>
      <c r="AP13" s="264">
        <f t="shared" si="8"/>
        <v>60</v>
      </c>
      <c r="AQ13" s="250">
        <f>IF(G13="否",IF($AM$3="是",60%,""),"")</f>
        <v>0.6</v>
      </c>
      <c r="AR13" s="251"/>
      <c r="AS13" s="251"/>
      <c r="AT13" s="265">
        <f>IF(AH13="年限法",AG13/100,IF(AH13="勘察法",ROUND(AP13/100,2),ROUND(AG13*AI13/100+AP13*AQ13/100,2)))</f>
        <v>0.6</v>
      </c>
      <c r="AU13" s="239">
        <f>ROUND(AB13*(AT13-AW13),0)</f>
        <v>6659</v>
      </c>
      <c r="AV13" s="227" t="s">
        <v>391</v>
      </c>
      <c r="AW13" s="272">
        <f>IF(AV13="",0,VLOOKUP(AV13,残值率参考表!$C$4:$D$23,2,0))</f>
        <v>0.07</v>
      </c>
      <c r="AX13" s="225"/>
      <c r="AY13" s="242"/>
      <c r="AZ13" s="241"/>
      <c r="BA13" s="241"/>
      <c r="BB13" s="241"/>
      <c r="BC13" s="242"/>
      <c r="BD13" s="251"/>
      <c r="BE13" s="239">
        <f t="shared" si="9"/>
        <v>6659</v>
      </c>
      <c r="BF13" s="275" t="str">
        <f t="shared" si="10"/>
        <v>扣除7%残值</v>
      </c>
    </row>
    <row r="14" s="156" customFormat="1" ht="22.15" hidden="1" customHeight="1" spans="1:58">
      <c r="A14" s="182">
        <f>设备类勘察表!A12</f>
        <v>8</v>
      </c>
      <c r="B14" s="182" t="str">
        <f>设备类勘察表!B12</f>
        <v>圆锯机</v>
      </c>
      <c r="C14" s="182" t="str">
        <f>设备类勘察表!C12</f>
        <v>YJ275Q 300型号</v>
      </c>
      <c r="D14" s="182" t="str">
        <f>设备类勘察表!D12</f>
        <v>江苏合丰机械制造有限公司</v>
      </c>
      <c r="E14" s="182" t="str">
        <f>设备类勘察表!G12</f>
        <v>套</v>
      </c>
      <c r="F14" s="182">
        <f>设备类勘察表!F12</f>
        <v>1</v>
      </c>
      <c r="G14" s="183" t="s">
        <v>343</v>
      </c>
      <c r="H14" s="184">
        <f t="shared" si="0"/>
        <v>11000</v>
      </c>
      <c r="I14" s="199">
        <f t="shared" si="1"/>
        <v>0</v>
      </c>
      <c r="J14" s="199">
        <f t="shared" si="2"/>
        <v>0</v>
      </c>
      <c r="K14" s="200">
        <f t="shared" si="3"/>
        <v>0</v>
      </c>
      <c r="L14" s="182">
        <f t="shared" si="11"/>
        <v>2</v>
      </c>
      <c r="M14" s="182">
        <f t="shared" si="12"/>
        <v>1</v>
      </c>
      <c r="N14" s="182">
        <f t="shared" si="13"/>
        <v>4</v>
      </c>
      <c r="O14" s="182">
        <f t="shared" si="14"/>
        <v>0</v>
      </c>
      <c r="P14" s="182">
        <f t="shared" si="15"/>
        <v>7</v>
      </c>
      <c r="Q14" s="223">
        <f t="shared" si="5"/>
        <v>770</v>
      </c>
      <c r="R14" s="224" t="str">
        <f t="shared" si="6"/>
        <v/>
      </c>
      <c r="S14" s="224"/>
      <c r="T14" s="202"/>
      <c r="U14" s="225">
        <v>11000</v>
      </c>
      <c r="V14" s="226" t="s">
        <v>389</v>
      </c>
      <c r="W14" s="227"/>
      <c r="X14" s="227"/>
      <c r="Y14" s="227"/>
      <c r="Z14" s="227"/>
      <c r="AA14" s="227"/>
      <c r="AB14" s="239">
        <f t="shared" si="7"/>
        <v>11000</v>
      </c>
      <c r="AC14" s="240" t="str">
        <f>设备类勘察表!E12</f>
        <v>2019年12</v>
      </c>
      <c r="AD14" s="241"/>
      <c r="AE14" s="242">
        <f>IF(AD14=0,0,IF(G14="否",ROUND((设定!$C$4-机器设备及辅助设施评估明细表!AC14)/365,2),0))</f>
        <v>0</v>
      </c>
      <c r="AF14" s="242">
        <f t="shared" ref="AF14:AF59" si="16">IF(AE14=0,0,IF((AD14-AE14)&lt;2,2,(AD14-AE14)))</f>
        <v>0</v>
      </c>
      <c r="AG14" s="249">
        <f t="shared" ref="AG14:AG59" si="17">IF(AE14=0,0,ROUND(AF14/(AE14+AF14)*100,0))</f>
        <v>0</v>
      </c>
      <c r="AH14" s="249"/>
      <c r="AI14" s="250" t="str">
        <f t="shared" ref="AI14:AI49" si="18">IF(G14="否",IF($AM$3="是",40%,""),"")</f>
        <v/>
      </c>
      <c r="AJ14" s="251"/>
      <c r="AK14" s="242">
        <f>IF(AJ14="",0,VLOOKUP(AJ14,成新率说明!$H$3:$I$6,2,0))</f>
        <v>0</v>
      </c>
      <c r="AL14" s="251"/>
      <c r="AM14" s="242">
        <f>IF(AL14="",0,VLOOKUP(AL14,成新率说明!$H$7:$I$11,2,0))</f>
        <v>0</v>
      </c>
      <c r="AN14" s="251"/>
      <c r="AO14" s="242">
        <f>IF(AN14="",0,VLOOKUP(AN14,成新率说明!$H$12:$I$15,2,0))</f>
        <v>0</v>
      </c>
      <c r="AP14" s="242">
        <f t="shared" ref="AP14:AP25" si="19">AK14+AM14+AO14</f>
        <v>0</v>
      </c>
      <c r="AQ14" s="250" t="str">
        <f t="shared" ref="AQ14:AQ54" si="20">IF(G14="否",IF($AM$3="是",60%,""),"")</f>
        <v/>
      </c>
      <c r="AR14" s="251"/>
      <c r="AS14" s="251"/>
      <c r="AT14" s="249">
        <f t="shared" ref="AT14:AT47" si="21">IF(G14="否",IF($AM$3="是",ROUND(AG14*AI14+AP14*AQ14,0)-AR14-AS14,AG14-AR14-AS14),0)</f>
        <v>0</v>
      </c>
      <c r="AU14" s="239">
        <f t="shared" ref="AU14:AU23" si="22">ROUND(AB14*AT14/100,0)</f>
        <v>0</v>
      </c>
      <c r="AV14" s="227"/>
      <c r="AW14" s="272">
        <f>IF(AV14="",0,VLOOKUP(AV14,残值率参考表!$C$4:$D$23,2,0))</f>
        <v>0</v>
      </c>
      <c r="AX14" s="225"/>
      <c r="AY14" s="242">
        <f t="shared" ref="AY14:AY20" si="23">ROUND(BA14/2,1)</f>
        <v>2</v>
      </c>
      <c r="AZ14" s="241">
        <v>1</v>
      </c>
      <c r="BA14" s="241">
        <v>4</v>
      </c>
      <c r="BB14" s="241"/>
      <c r="BC14" s="242">
        <f t="shared" ref="BC14:BC24" si="24">AY14+AZ14+BA14+BB14</f>
        <v>7</v>
      </c>
      <c r="BD14" s="251"/>
      <c r="BE14" s="239">
        <f t="shared" ref="BE14:BE22" si="25">IF(AX14=0,IF(G14="可",ROUND(AB14*BC14/100,0),ROUND(AB14*(AT14-AW14),0)),ROUND(AX14*F14,0))</f>
        <v>770</v>
      </c>
      <c r="BF14" s="275" t="str">
        <f t="shared" ref="BF14:BF20" si="26">IF(AW14=0,IF(AX14=0,"",AX14&amp;"元/"&amp;E14),("扣除"&amp;AW14*100&amp;"%残值"))</f>
        <v/>
      </c>
    </row>
    <row r="15" s="156" customFormat="1" ht="22.15" hidden="1" customHeight="1" spans="1:58">
      <c r="A15" s="182">
        <f>设备类勘察表!A13</f>
        <v>9</v>
      </c>
      <c r="B15" s="182" t="str">
        <f>设备类勘察表!B13</f>
        <v>圆锯机</v>
      </c>
      <c r="C15" s="182" t="str">
        <f>设备类勘察表!C13</f>
        <v>300型号</v>
      </c>
      <c r="D15" s="182" t="str">
        <f>设备类勘察表!D13</f>
        <v>江苏合丰机械制造有限公司</v>
      </c>
      <c r="E15" s="182" t="str">
        <f>设备类勘察表!G13</f>
        <v>套</v>
      </c>
      <c r="F15" s="182">
        <f>设备类勘察表!F13</f>
        <v>1</v>
      </c>
      <c r="G15" s="183" t="s">
        <v>343</v>
      </c>
      <c r="H15" s="184">
        <f t="shared" si="0"/>
        <v>11000</v>
      </c>
      <c r="I15" s="199">
        <f t="shared" si="1"/>
        <v>0</v>
      </c>
      <c r="J15" s="199">
        <f t="shared" si="2"/>
        <v>0</v>
      </c>
      <c r="K15" s="200">
        <f t="shared" si="3"/>
        <v>0</v>
      </c>
      <c r="L15" s="182">
        <f t="shared" si="11"/>
        <v>2</v>
      </c>
      <c r="M15" s="182">
        <f t="shared" si="12"/>
        <v>1</v>
      </c>
      <c r="N15" s="182">
        <f t="shared" si="13"/>
        <v>4</v>
      </c>
      <c r="O15" s="182">
        <f t="shared" si="14"/>
        <v>0</v>
      </c>
      <c r="P15" s="182">
        <f t="shared" si="15"/>
        <v>7</v>
      </c>
      <c r="Q15" s="223">
        <f t="shared" si="5"/>
        <v>770</v>
      </c>
      <c r="R15" s="224" t="str">
        <f t="shared" si="6"/>
        <v/>
      </c>
      <c r="S15" s="224"/>
      <c r="T15" s="202"/>
      <c r="U15" s="225">
        <v>11000</v>
      </c>
      <c r="V15" s="226" t="s">
        <v>389</v>
      </c>
      <c r="W15" s="227"/>
      <c r="X15" s="227"/>
      <c r="Y15" s="227"/>
      <c r="Z15" s="227"/>
      <c r="AA15" s="227"/>
      <c r="AB15" s="239">
        <f t="shared" si="7"/>
        <v>11000</v>
      </c>
      <c r="AC15" s="240" t="str">
        <f>设备类勘察表!E13</f>
        <v>2016年10月</v>
      </c>
      <c r="AD15" s="241"/>
      <c r="AE15" s="242">
        <f>IF(AD15=0,0,IF(G15="否",ROUND((设定!$C$4-机器设备及辅助设施评估明细表!AC15)/365,2),0))</f>
        <v>0</v>
      </c>
      <c r="AF15" s="242">
        <f t="shared" si="16"/>
        <v>0</v>
      </c>
      <c r="AG15" s="249">
        <f t="shared" si="17"/>
        <v>0</v>
      </c>
      <c r="AH15" s="249"/>
      <c r="AI15" s="250" t="str">
        <f t="shared" si="18"/>
        <v/>
      </c>
      <c r="AJ15" s="251"/>
      <c r="AK15" s="242">
        <f>IF(AH15="年限法",0,IF(AJ15=0,0,VLOOKUP(AJ15,成新率说明!$H$3:$I$6,2,0)))</f>
        <v>0</v>
      </c>
      <c r="AL15" s="251"/>
      <c r="AM15" s="242">
        <f>IF(AL15="",0,VLOOKUP(AL15,成新率说明!$H$7:$I$11,2,0))</f>
        <v>0</v>
      </c>
      <c r="AN15" s="251"/>
      <c r="AO15" s="242">
        <f>IF(AH15="年限法",0,IF(AN15=0,0,VLOOKUP(AN15,成新率说明!$H$12:$I$15,2,0)))</f>
        <v>0</v>
      </c>
      <c r="AP15" s="242">
        <f t="shared" si="19"/>
        <v>0</v>
      </c>
      <c r="AQ15" s="250" t="str">
        <f t="shared" si="20"/>
        <v/>
      </c>
      <c r="AR15" s="251"/>
      <c r="AS15" s="251"/>
      <c r="AT15" s="249">
        <f t="shared" si="21"/>
        <v>0</v>
      </c>
      <c r="AU15" s="239">
        <f t="shared" si="22"/>
        <v>0</v>
      </c>
      <c r="AV15" s="227"/>
      <c r="AW15" s="272">
        <f>IF(AV15="",0,VLOOKUP(AV15,残值率参考表!$C$4:$D$23,2,0))</f>
        <v>0</v>
      </c>
      <c r="AX15" s="225"/>
      <c r="AY15" s="242">
        <f t="shared" si="23"/>
        <v>2</v>
      </c>
      <c r="AZ15" s="241">
        <v>1</v>
      </c>
      <c r="BA15" s="241">
        <v>4</v>
      </c>
      <c r="BB15" s="241"/>
      <c r="BC15" s="242">
        <f t="shared" si="24"/>
        <v>7</v>
      </c>
      <c r="BD15" s="251"/>
      <c r="BE15" s="239">
        <f t="shared" si="25"/>
        <v>770</v>
      </c>
      <c r="BF15" s="275" t="str">
        <f t="shared" si="26"/>
        <v/>
      </c>
    </row>
    <row r="16" s="156" customFormat="1" ht="22.15" hidden="1" customHeight="1" spans="1:58">
      <c r="A16" s="182">
        <f>设备类勘察表!A14</f>
        <v>10</v>
      </c>
      <c r="B16" s="182" t="str">
        <f>设备类勘察表!B14</f>
        <v>圆锯机</v>
      </c>
      <c r="C16" s="182" t="str">
        <f>设备类勘察表!C14</f>
        <v>300型号</v>
      </c>
      <c r="D16" s="182" t="str">
        <f>设备类勘察表!D14</f>
        <v>江苏合丰机械制造有限公司</v>
      </c>
      <c r="E16" s="182" t="str">
        <f>设备类勘察表!G14</f>
        <v>套</v>
      </c>
      <c r="F16" s="182">
        <f>设备类勘察表!F14</f>
        <v>1</v>
      </c>
      <c r="G16" s="183" t="s">
        <v>343</v>
      </c>
      <c r="H16" s="184">
        <f t="shared" ref="H14:H22" si="27">AB16</f>
        <v>11000</v>
      </c>
      <c r="I16" s="199">
        <f t="shared" ref="I14:I25" si="28">AT16</f>
        <v>0</v>
      </c>
      <c r="J16" s="199">
        <f t="shared" ref="J14:J25" si="29">AW16</f>
        <v>0</v>
      </c>
      <c r="K16" s="200">
        <f t="shared" ref="K14:K21" si="30">AU16</f>
        <v>0</v>
      </c>
      <c r="L16" s="182">
        <f t="shared" ref="L14:L21" si="31">AY16</f>
        <v>2</v>
      </c>
      <c r="M16" s="182">
        <f t="shared" ref="M14:M21" si="32">AZ16</f>
        <v>1</v>
      </c>
      <c r="N16" s="182">
        <f t="shared" ref="N14:N21" si="33">BA16</f>
        <v>4</v>
      </c>
      <c r="O16" s="182">
        <f t="shared" ref="O14:O21" si="34">BB16</f>
        <v>0</v>
      </c>
      <c r="P16" s="182">
        <f t="shared" ref="P14:P21" si="35">BC16</f>
        <v>7</v>
      </c>
      <c r="Q16" s="223">
        <f t="shared" ref="Q14:Q21" si="36">BE16</f>
        <v>770</v>
      </c>
      <c r="R16" s="224" t="str">
        <f t="shared" ref="R14:R21" si="37">BF16</f>
        <v/>
      </c>
      <c r="S16" s="224"/>
      <c r="T16" s="202"/>
      <c r="U16" s="225">
        <v>11000</v>
      </c>
      <c r="V16" s="226" t="s">
        <v>389</v>
      </c>
      <c r="W16" s="227"/>
      <c r="X16" s="227"/>
      <c r="Y16" s="227"/>
      <c r="Z16" s="227"/>
      <c r="AA16" s="227"/>
      <c r="AB16" s="239">
        <f t="shared" ref="AB14:AB22" si="38">ROUND((U16*(1+W16+X16+Y16)*(1+Z16)*(1+AA16))*F16,0)</f>
        <v>11000</v>
      </c>
      <c r="AC16" s="240" t="str">
        <f>设备类勘察表!E14</f>
        <v>2016年10月</v>
      </c>
      <c r="AD16" s="241"/>
      <c r="AE16" s="242">
        <f>IF(AD16=0,0,IF(G16="否",ROUND((设定!$C$4-机器设备及辅助设施评估明细表!AC16)/365,2),0))</f>
        <v>0</v>
      </c>
      <c r="AF16" s="242">
        <f t="shared" si="16"/>
        <v>0</v>
      </c>
      <c r="AG16" s="249">
        <f t="shared" si="17"/>
        <v>0</v>
      </c>
      <c r="AH16" s="249"/>
      <c r="AI16" s="250" t="str">
        <f t="shared" si="18"/>
        <v/>
      </c>
      <c r="AJ16" s="251"/>
      <c r="AK16" s="242">
        <f>IF(AH16="年限法",0,IF(AJ16=0,0,VLOOKUP(AJ16,成新率说明!$H$3:$I$6,2,0)))</f>
        <v>0</v>
      </c>
      <c r="AL16" s="251"/>
      <c r="AM16" s="242">
        <f>IF(AL16="",0,VLOOKUP(AL16,成新率说明!$H$7:$I$11,2,0))</f>
        <v>0</v>
      </c>
      <c r="AN16" s="251"/>
      <c r="AO16" s="242">
        <f>IF(AH16="年限法",0,IF(AN16=0,0,VLOOKUP(AN16,成新率说明!$H$12:$I$15,2,0)))</f>
        <v>0</v>
      </c>
      <c r="AP16" s="242">
        <f t="shared" si="19"/>
        <v>0</v>
      </c>
      <c r="AQ16" s="250" t="str">
        <f t="shared" si="20"/>
        <v/>
      </c>
      <c r="AR16" s="251"/>
      <c r="AS16" s="251"/>
      <c r="AT16" s="249">
        <f t="shared" si="21"/>
        <v>0</v>
      </c>
      <c r="AU16" s="239">
        <f t="shared" si="22"/>
        <v>0</v>
      </c>
      <c r="AV16" s="227"/>
      <c r="AW16" s="272">
        <f>IF(AV16="",0,VLOOKUP(AV16,残值率参考表!$C$4:$D$23,2,0))</f>
        <v>0</v>
      </c>
      <c r="AX16" s="225"/>
      <c r="AY16" s="242">
        <f t="shared" si="23"/>
        <v>2</v>
      </c>
      <c r="AZ16" s="241">
        <v>1</v>
      </c>
      <c r="BA16" s="241">
        <v>4</v>
      </c>
      <c r="BB16" s="241"/>
      <c r="BC16" s="242">
        <f t="shared" si="24"/>
        <v>7</v>
      </c>
      <c r="BD16" s="251"/>
      <c r="BE16" s="239">
        <f t="shared" si="25"/>
        <v>770</v>
      </c>
      <c r="BF16" s="275" t="str">
        <f t="shared" si="26"/>
        <v/>
      </c>
    </row>
    <row r="17" s="156" customFormat="1" ht="22.15" hidden="1" customHeight="1" spans="1:58">
      <c r="A17" s="182">
        <f>设备类勘察表!A15</f>
        <v>11</v>
      </c>
      <c r="B17" s="182" t="str">
        <f>设备类勘察表!B15</f>
        <v>倒角机</v>
      </c>
      <c r="C17" s="182" t="str">
        <f>设备类勘察表!C15</f>
        <v>/</v>
      </c>
      <c r="D17" s="182" t="str">
        <f>设备类勘察表!D15</f>
        <v>江阴</v>
      </c>
      <c r="E17" s="182" t="str">
        <f>设备类勘察表!G15</f>
        <v>套</v>
      </c>
      <c r="F17" s="182">
        <f>设备类勘察表!F15</f>
        <v>1</v>
      </c>
      <c r="G17" s="183" t="s">
        <v>343</v>
      </c>
      <c r="H17" s="184">
        <f t="shared" si="27"/>
        <v>3300</v>
      </c>
      <c r="I17" s="199">
        <f t="shared" si="28"/>
        <v>0</v>
      </c>
      <c r="J17" s="199">
        <f t="shared" si="29"/>
        <v>0</v>
      </c>
      <c r="K17" s="200">
        <f t="shared" si="30"/>
        <v>0</v>
      </c>
      <c r="L17" s="182">
        <f t="shared" si="31"/>
        <v>1</v>
      </c>
      <c r="M17" s="182">
        <f t="shared" si="32"/>
        <v>1</v>
      </c>
      <c r="N17" s="182">
        <f t="shared" si="33"/>
        <v>2</v>
      </c>
      <c r="O17" s="182">
        <f t="shared" si="34"/>
        <v>0</v>
      </c>
      <c r="P17" s="182">
        <f t="shared" si="35"/>
        <v>4</v>
      </c>
      <c r="Q17" s="223">
        <f t="shared" si="36"/>
        <v>132</v>
      </c>
      <c r="R17" s="224" t="str">
        <f t="shared" si="37"/>
        <v/>
      </c>
      <c r="S17" s="224"/>
      <c r="T17" s="202"/>
      <c r="U17" s="225">
        <v>3300</v>
      </c>
      <c r="V17" s="228" t="str">
        <f>_xlfn.DISPIMG("ID_858FDE64F79D48479148809EA473C502",1)</f>
        <v>=DISPIMG("ID_858FDE64F79D48479148809EA473C502",1)</v>
      </c>
      <c r="W17" s="227"/>
      <c r="X17" s="227"/>
      <c r="Y17" s="227"/>
      <c r="Z17" s="227"/>
      <c r="AA17" s="227"/>
      <c r="AB17" s="239">
        <f t="shared" si="38"/>
        <v>3300</v>
      </c>
      <c r="AC17" s="240" t="str">
        <f>设备类勘察表!E15</f>
        <v>2014年1月</v>
      </c>
      <c r="AD17" s="241"/>
      <c r="AE17" s="242">
        <f>IF(AD17=0,0,IF(G17="否",ROUND((设定!$C$4-机器设备及辅助设施评估明细表!AC17)/365,2),0))</f>
        <v>0</v>
      </c>
      <c r="AF17" s="242">
        <f t="shared" si="16"/>
        <v>0</v>
      </c>
      <c r="AG17" s="249">
        <f t="shared" si="17"/>
        <v>0</v>
      </c>
      <c r="AH17" s="249"/>
      <c r="AI17" s="250" t="str">
        <f t="shared" si="18"/>
        <v/>
      </c>
      <c r="AJ17" s="251"/>
      <c r="AK17" s="242">
        <f>IF(AJ17="",0,VLOOKUP(AJ17,成新率说明!$H$3:$I$6,2,0))</f>
        <v>0</v>
      </c>
      <c r="AL17" s="251"/>
      <c r="AM17" s="242">
        <f>IF(AL17="",0,VLOOKUP(AL17,成新率说明!$H$7:$I$11,2,0))</f>
        <v>0</v>
      </c>
      <c r="AN17" s="251"/>
      <c r="AO17" s="242">
        <f>IF(AN17="",0,VLOOKUP(AN17,成新率说明!$H$12:$I$15,2,0))</f>
        <v>0</v>
      </c>
      <c r="AP17" s="242">
        <f t="shared" si="19"/>
        <v>0</v>
      </c>
      <c r="AQ17" s="250" t="str">
        <f t="shared" si="20"/>
        <v/>
      </c>
      <c r="AR17" s="251"/>
      <c r="AS17" s="251"/>
      <c r="AT17" s="249">
        <f t="shared" si="21"/>
        <v>0</v>
      </c>
      <c r="AU17" s="239">
        <f t="shared" si="22"/>
        <v>0</v>
      </c>
      <c r="AV17" s="227"/>
      <c r="AW17" s="272">
        <f>IF(AV17="",0,VLOOKUP(AV17,残值率参考表!$C$4:$D$23,2,0))</f>
        <v>0</v>
      </c>
      <c r="AX17" s="225"/>
      <c r="AY17" s="242">
        <f t="shared" si="23"/>
        <v>1</v>
      </c>
      <c r="AZ17" s="241">
        <v>1</v>
      </c>
      <c r="BA17" s="241">
        <v>2</v>
      </c>
      <c r="BB17" s="241"/>
      <c r="BC17" s="242">
        <f t="shared" si="24"/>
        <v>4</v>
      </c>
      <c r="BD17" s="251"/>
      <c r="BE17" s="239">
        <f t="shared" si="25"/>
        <v>132</v>
      </c>
      <c r="BF17" s="275" t="str">
        <f t="shared" si="26"/>
        <v/>
      </c>
    </row>
    <row r="18" s="156" customFormat="1" ht="22.15" hidden="1" customHeight="1" spans="1:58">
      <c r="A18" s="182">
        <f>设备类勘察表!A16</f>
        <v>12</v>
      </c>
      <c r="B18" s="182" t="str">
        <f>设备类勘察表!B16</f>
        <v>分剪机</v>
      </c>
      <c r="C18" s="182" t="str">
        <f>设备类勘察表!C16</f>
        <v>/</v>
      </c>
      <c r="D18" s="182" t="str">
        <f>设备类勘察表!D16</f>
        <v>江阴</v>
      </c>
      <c r="E18" s="182" t="str">
        <f>设备类勘察表!G16</f>
        <v>套</v>
      </c>
      <c r="F18" s="182">
        <f>设备类勘察表!F16</f>
        <v>1</v>
      </c>
      <c r="G18" s="183" t="s">
        <v>343</v>
      </c>
      <c r="H18" s="184">
        <f t="shared" si="27"/>
        <v>4800</v>
      </c>
      <c r="I18" s="199">
        <f t="shared" si="28"/>
        <v>0</v>
      </c>
      <c r="J18" s="199">
        <f t="shared" si="29"/>
        <v>0</v>
      </c>
      <c r="K18" s="200">
        <f t="shared" si="30"/>
        <v>0</v>
      </c>
      <c r="L18" s="182">
        <f t="shared" si="31"/>
        <v>1</v>
      </c>
      <c r="M18" s="182">
        <f t="shared" si="32"/>
        <v>1</v>
      </c>
      <c r="N18" s="182">
        <f t="shared" si="33"/>
        <v>2</v>
      </c>
      <c r="O18" s="182">
        <f t="shared" si="34"/>
        <v>0</v>
      </c>
      <c r="P18" s="182">
        <f t="shared" si="35"/>
        <v>4</v>
      </c>
      <c r="Q18" s="223">
        <f t="shared" si="36"/>
        <v>192</v>
      </c>
      <c r="R18" s="224" t="str">
        <f t="shared" si="37"/>
        <v/>
      </c>
      <c r="S18" s="224"/>
      <c r="T18" s="202"/>
      <c r="U18" s="225">
        <v>4800</v>
      </c>
      <c r="V18" s="229" t="str">
        <f>_xlfn.DISPIMG("ID_885608EFF39E4ADB83D63568F00A98EC",1)</f>
        <v>=DISPIMG("ID_885608EFF39E4ADB83D63568F00A98EC",1)</v>
      </c>
      <c r="W18" s="227"/>
      <c r="X18" s="227"/>
      <c r="Y18" s="227"/>
      <c r="Z18" s="227"/>
      <c r="AA18" s="227"/>
      <c r="AB18" s="239">
        <f t="shared" si="38"/>
        <v>4800</v>
      </c>
      <c r="AC18" s="240" t="str">
        <f>设备类勘察表!E16</f>
        <v>2005年1月</v>
      </c>
      <c r="AD18" s="241"/>
      <c r="AE18" s="242">
        <f>IF(AD18=0,0,IF(G18="否",ROUND((设定!$C$4-机器设备及辅助设施评估明细表!AC18)/365,2),0))</f>
        <v>0</v>
      </c>
      <c r="AF18" s="242">
        <f t="shared" si="16"/>
        <v>0</v>
      </c>
      <c r="AG18" s="249">
        <f t="shared" si="17"/>
        <v>0</v>
      </c>
      <c r="AH18" s="249"/>
      <c r="AI18" s="250" t="str">
        <f t="shared" si="18"/>
        <v/>
      </c>
      <c r="AJ18" s="251"/>
      <c r="AK18" s="242">
        <f>IF(AH18="年限法",0,IF(AJ18=0,0,VLOOKUP(AJ18,成新率说明!$H$3:$I$6,2,0)))</f>
        <v>0</v>
      </c>
      <c r="AL18" s="251"/>
      <c r="AM18" s="242">
        <f>IF(AL18="",0,VLOOKUP(AL18,成新率说明!$H$7:$I$11,2,0))</f>
        <v>0</v>
      </c>
      <c r="AN18" s="251"/>
      <c r="AO18" s="242">
        <f>IF(AH18="年限法",0,IF(AN18=0,0,VLOOKUP(AN18,成新率说明!$H$12:$I$15,2,0)))</f>
        <v>0</v>
      </c>
      <c r="AP18" s="242">
        <f t="shared" si="19"/>
        <v>0</v>
      </c>
      <c r="AQ18" s="250" t="str">
        <f t="shared" si="20"/>
        <v/>
      </c>
      <c r="AR18" s="251"/>
      <c r="AS18" s="251"/>
      <c r="AT18" s="249">
        <f t="shared" si="21"/>
        <v>0</v>
      </c>
      <c r="AU18" s="239">
        <f t="shared" si="22"/>
        <v>0</v>
      </c>
      <c r="AV18" s="227"/>
      <c r="AW18" s="272">
        <f>IF(AV18="",0,VLOOKUP(AV18,残值率参考表!$C$4:$D$23,2,0))</f>
        <v>0</v>
      </c>
      <c r="AX18" s="225"/>
      <c r="AY18" s="242">
        <f t="shared" si="23"/>
        <v>1</v>
      </c>
      <c r="AZ18" s="241">
        <v>1</v>
      </c>
      <c r="BA18" s="241">
        <v>2</v>
      </c>
      <c r="BB18" s="241"/>
      <c r="BC18" s="242">
        <f t="shared" si="24"/>
        <v>4</v>
      </c>
      <c r="BD18" s="251"/>
      <c r="BE18" s="239">
        <f t="shared" si="25"/>
        <v>192</v>
      </c>
      <c r="BF18" s="275" t="str">
        <f t="shared" si="26"/>
        <v/>
      </c>
    </row>
    <row r="19" s="156" customFormat="1" ht="22.15" hidden="1" customHeight="1" spans="1:58">
      <c r="A19" s="182">
        <f>设备类勘察表!A17</f>
        <v>13</v>
      </c>
      <c r="B19" s="182" t="str">
        <f>设备类勘察表!B17</f>
        <v>全自动切管机</v>
      </c>
      <c r="C19" s="182" t="str">
        <f>设备类勘察表!C17</f>
        <v>YS-350CNC</v>
      </c>
      <c r="D19" s="182" t="str">
        <f>设备类勘察表!D17</f>
        <v>张家港友胜机械制造有限公司</v>
      </c>
      <c r="E19" s="182" t="str">
        <f>设备类勘察表!G17</f>
        <v>套</v>
      </c>
      <c r="F19" s="182">
        <f>设备类勘察表!F17</f>
        <v>1</v>
      </c>
      <c r="G19" s="183" t="s">
        <v>343</v>
      </c>
      <c r="H19" s="184">
        <f t="shared" si="27"/>
        <v>46000</v>
      </c>
      <c r="I19" s="199">
        <f t="shared" si="28"/>
        <v>0</v>
      </c>
      <c r="J19" s="199">
        <f t="shared" si="29"/>
        <v>0</v>
      </c>
      <c r="K19" s="200">
        <f t="shared" si="30"/>
        <v>0</v>
      </c>
      <c r="L19" s="182">
        <f t="shared" si="31"/>
        <v>2</v>
      </c>
      <c r="M19" s="182">
        <f t="shared" si="32"/>
        <v>1</v>
      </c>
      <c r="N19" s="182">
        <f t="shared" si="33"/>
        <v>4</v>
      </c>
      <c r="O19" s="182">
        <f t="shared" si="34"/>
        <v>0</v>
      </c>
      <c r="P19" s="182">
        <f t="shared" si="35"/>
        <v>7</v>
      </c>
      <c r="Q19" s="223">
        <f t="shared" si="36"/>
        <v>3220</v>
      </c>
      <c r="R19" s="224" t="str">
        <f t="shared" si="37"/>
        <v/>
      </c>
      <c r="S19" s="224"/>
      <c r="T19" s="202"/>
      <c r="U19" s="225">
        <v>46000</v>
      </c>
      <c r="V19" s="226" t="s">
        <v>389</v>
      </c>
      <c r="W19" s="227"/>
      <c r="X19" s="227"/>
      <c r="Y19" s="227"/>
      <c r="Z19" s="227"/>
      <c r="AA19" s="227"/>
      <c r="AB19" s="239">
        <f t="shared" si="38"/>
        <v>46000</v>
      </c>
      <c r="AC19" s="240" t="str">
        <f>设备类勘察表!E17</f>
        <v>2018年10月</v>
      </c>
      <c r="AD19" s="241"/>
      <c r="AE19" s="242">
        <f>IF(AD19=0,0,IF(G19="否",ROUND((设定!$C$4-机器设备及辅助设施评估明细表!AC19)/365,2),0))</f>
        <v>0</v>
      </c>
      <c r="AF19" s="242">
        <f t="shared" si="16"/>
        <v>0</v>
      </c>
      <c r="AG19" s="249">
        <f t="shared" si="17"/>
        <v>0</v>
      </c>
      <c r="AH19" s="249"/>
      <c r="AI19" s="250" t="str">
        <f t="shared" si="18"/>
        <v/>
      </c>
      <c r="AJ19" s="251"/>
      <c r="AK19" s="242">
        <f>IF(AH19="年限法",0,IF(AJ19=0,0,VLOOKUP(AJ19,成新率说明!$H$3:$I$6,2,0)))</f>
        <v>0</v>
      </c>
      <c r="AL19" s="251"/>
      <c r="AM19" s="242">
        <f>IF(AL19="",0,VLOOKUP(AL19,成新率说明!$H$7:$I$11,2,0))</f>
        <v>0</v>
      </c>
      <c r="AN19" s="251"/>
      <c r="AO19" s="242">
        <f>IF(AH19="年限法",0,IF(AN19=0,0,VLOOKUP(AN19,成新率说明!$H$12:$I$15,2,0)))</f>
        <v>0</v>
      </c>
      <c r="AP19" s="242">
        <f t="shared" si="19"/>
        <v>0</v>
      </c>
      <c r="AQ19" s="250" t="str">
        <f t="shared" si="20"/>
        <v/>
      </c>
      <c r="AR19" s="251"/>
      <c r="AS19" s="251"/>
      <c r="AT19" s="249">
        <f t="shared" si="21"/>
        <v>0</v>
      </c>
      <c r="AU19" s="239">
        <f t="shared" si="22"/>
        <v>0</v>
      </c>
      <c r="AV19" s="227"/>
      <c r="AW19" s="272">
        <f>IF(AV19="",0,VLOOKUP(AV19,残值率参考表!$C$4:$D$23,2,0))</f>
        <v>0</v>
      </c>
      <c r="AX19" s="225"/>
      <c r="AY19" s="242">
        <f t="shared" si="23"/>
        <v>2</v>
      </c>
      <c r="AZ19" s="241">
        <v>1</v>
      </c>
      <c r="BA19" s="241">
        <v>4</v>
      </c>
      <c r="BB19" s="241"/>
      <c r="BC19" s="242">
        <f t="shared" si="24"/>
        <v>7</v>
      </c>
      <c r="BD19" s="251"/>
      <c r="BE19" s="239">
        <f t="shared" si="25"/>
        <v>3220</v>
      </c>
      <c r="BF19" s="275" t="str">
        <f t="shared" si="26"/>
        <v/>
      </c>
    </row>
    <row r="20" s="156" customFormat="1" ht="22.15" hidden="1" customHeight="1" spans="1:58">
      <c r="A20" s="182">
        <f>设备类勘察表!A18</f>
        <v>14</v>
      </c>
      <c r="B20" s="182" t="str">
        <f>设备类勘察表!B18</f>
        <v>空压机</v>
      </c>
      <c r="C20" s="182" t="str">
        <f>设备类勘察表!C18</f>
        <v>螺杆式</v>
      </c>
      <c r="D20" s="182" t="str">
        <f>设备类勘察表!D18</f>
        <v>泉州市华德机电设备有限公司</v>
      </c>
      <c r="E20" s="182" t="str">
        <f>设备类勘察表!G18</f>
        <v>套</v>
      </c>
      <c r="F20" s="182">
        <f>设备类勘察表!F18</f>
        <v>2</v>
      </c>
      <c r="G20" s="183" t="s">
        <v>343</v>
      </c>
      <c r="H20" s="184">
        <f t="shared" si="27"/>
        <v>45600</v>
      </c>
      <c r="I20" s="199">
        <f t="shared" si="28"/>
        <v>0</v>
      </c>
      <c r="J20" s="199">
        <f t="shared" si="29"/>
        <v>0</v>
      </c>
      <c r="K20" s="200">
        <f t="shared" si="30"/>
        <v>0</v>
      </c>
      <c r="L20" s="182">
        <f t="shared" si="31"/>
        <v>5</v>
      </c>
      <c r="M20" s="182">
        <f t="shared" si="32"/>
        <v>1</v>
      </c>
      <c r="N20" s="182">
        <f t="shared" si="33"/>
        <v>10</v>
      </c>
      <c r="O20" s="182">
        <f t="shared" si="34"/>
        <v>0</v>
      </c>
      <c r="P20" s="182">
        <f t="shared" si="35"/>
        <v>16</v>
      </c>
      <c r="Q20" s="223">
        <f t="shared" si="36"/>
        <v>7296</v>
      </c>
      <c r="R20" s="224" t="str">
        <f t="shared" si="37"/>
        <v/>
      </c>
      <c r="S20" s="224"/>
      <c r="T20" s="202"/>
      <c r="U20" s="225">
        <v>22800</v>
      </c>
      <c r="V20" s="226" t="s">
        <v>389</v>
      </c>
      <c r="W20" s="227"/>
      <c r="X20" s="227"/>
      <c r="Y20" s="227"/>
      <c r="Z20" s="227"/>
      <c r="AA20" s="227"/>
      <c r="AB20" s="239">
        <f t="shared" si="38"/>
        <v>45600</v>
      </c>
      <c r="AC20" s="240" t="str">
        <f>设备类勘察表!E18</f>
        <v>2013年4月</v>
      </c>
      <c r="AD20" s="241"/>
      <c r="AE20" s="242">
        <f>IF(AD20=0,0,IF(G20="否",ROUND((设定!$C$4-机器设备及辅助设施评估明细表!AC20)/365,2),0))</f>
        <v>0</v>
      </c>
      <c r="AF20" s="242">
        <f t="shared" si="16"/>
        <v>0</v>
      </c>
      <c r="AG20" s="249">
        <f t="shared" si="17"/>
        <v>0</v>
      </c>
      <c r="AH20" s="249"/>
      <c r="AI20" s="250" t="str">
        <f t="shared" si="18"/>
        <v/>
      </c>
      <c r="AJ20" s="251"/>
      <c r="AK20" s="242">
        <f>IF(AH20="年限法",0,IF(AJ20=0,0,VLOOKUP(AJ20,成新率说明!$H$3:$I$6,2,0)))</f>
        <v>0</v>
      </c>
      <c r="AL20" s="251"/>
      <c r="AM20" s="242">
        <f>IF(AL20="",0,VLOOKUP(AL20,成新率说明!$H$7:$I$11,2,0))</f>
        <v>0</v>
      </c>
      <c r="AN20" s="251"/>
      <c r="AO20" s="242">
        <f>IF(AH20="年限法",0,IF(AN20=0,0,VLOOKUP(AN20,成新率说明!$H$12:$I$15,2,0)))</f>
        <v>0</v>
      </c>
      <c r="AP20" s="242">
        <f t="shared" si="19"/>
        <v>0</v>
      </c>
      <c r="AQ20" s="250" t="str">
        <f t="shared" si="20"/>
        <v/>
      </c>
      <c r="AR20" s="251"/>
      <c r="AS20" s="251"/>
      <c r="AT20" s="249">
        <f t="shared" si="21"/>
        <v>0</v>
      </c>
      <c r="AU20" s="239">
        <f t="shared" si="22"/>
        <v>0</v>
      </c>
      <c r="AV20" s="227"/>
      <c r="AW20" s="272">
        <f>IF(AV20="",0,VLOOKUP(AV20,残值率参考表!$C$4:$D$23,2,0))</f>
        <v>0</v>
      </c>
      <c r="AX20" s="225"/>
      <c r="AY20" s="242">
        <f t="shared" si="23"/>
        <v>5</v>
      </c>
      <c r="AZ20" s="241">
        <v>1</v>
      </c>
      <c r="BA20" s="241">
        <v>10</v>
      </c>
      <c r="BB20" s="241"/>
      <c r="BC20" s="242">
        <f t="shared" si="24"/>
        <v>16</v>
      </c>
      <c r="BD20" s="251"/>
      <c r="BE20" s="239">
        <f t="shared" si="25"/>
        <v>7296</v>
      </c>
      <c r="BF20" s="275" t="str">
        <f t="shared" si="26"/>
        <v/>
      </c>
    </row>
    <row r="21" s="156" customFormat="1" ht="22.15" hidden="1" customHeight="1" spans="1:58">
      <c r="A21" s="182">
        <f>设备类勘察表!A19</f>
        <v>15</v>
      </c>
      <c r="B21" s="182" t="str">
        <f>设备类勘察表!B19</f>
        <v>空压机</v>
      </c>
      <c r="C21" s="182">
        <f>设备类勘察表!C19</f>
        <v>0</v>
      </c>
      <c r="D21" s="182">
        <f>设备类勘察表!D19</f>
        <v>0</v>
      </c>
      <c r="E21" s="182" t="str">
        <f>设备类勘察表!G19</f>
        <v>套</v>
      </c>
      <c r="F21" s="182">
        <f>设备类勘察表!F19</f>
        <v>1</v>
      </c>
      <c r="G21" s="183" t="s">
        <v>343</v>
      </c>
      <c r="H21" s="184">
        <f t="shared" si="27"/>
        <v>11000</v>
      </c>
      <c r="I21" s="199">
        <f t="shared" si="28"/>
        <v>0</v>
      </c>
      <c r="J21" s="199">
        <f t="shared" si="29"/>
        <v>0</v>
      </c>
      <c r="K21" s="200">
        <f t="shared" si="30"/>
        <v>0</v>
      </c>
      <c r="L21" s="182">
        <f t="shared" si="31"/>
        <v>2.5</v>
      </c>
      <c r="M21" s="182">
        <f t="shared" si="32"/>
        <v>1</v>
      </c>
      <c r="N21" s="182">
        <f t="shared" si="33"/>
        <v>5</v>
      </c>
      <c r="O21" s="182">
        <f t="shared" si="34"/>
        <v>0</v>
      </c>
      <c r="P21" s="182">
        <f t="shared" si="35"/>
        <v>8.5</v>
      </c>
      <c r="Q21" s="223">
        <f t="shared" si="36"/>
        <v>935</v>
      </c>
      <c r="R21" s="224">
        <f t="shared" si="37"/>
        <v>0</v>
      </c>
      <c r="S21" s="224"/>
      <c r="T21" s="202"/>
      <c r="U21" s="225">
        <v>11000</v>
      </c>
      <c r="V21" s="226" t="s">
        <v>389</v>
      </c>
      <c r="W21" s="227"/>
      <c r="X21" s="227"/>
      <c r="Y21" s="227"/>
      <c r="Z21" s="227"/>
      <c r="AA21" s="227"/>
      <c r="AB21" s="239">
        <f t="shared" si="38"/>
        <v>11000</v>
      </c>
      <c r="AC21" s="240" t="str">
        <f>设备类勘察表!E19</f>
        <v>2013年4月</v>
      </c>
      <c r="AD21" s="241"/>
      <c r="AE21" s="242">
        <f>IF(AD21=0,0,IF(G21="否",ROUND((设定!$C$4-机器设备及辅助设施评估明细表!AC21)/365,2),0))</f>
        <v>0</v>
      </c>
      <c r="AF21" s="242">
        <f t="shared" si="16"/>
        <v>0</v>
      </c>
      <c r="AG21" s="249">
        <f t="shared" si="17"/>
        <v>0</v>
      </c>
      <c r="AH21" s="249"/>
      <c r="AI21" s="250" t="str">
        <f t="shared" si="18"/>
        <v/>
      </c>
      <c r="AJ21" s="251"/>
      <c r="AK21" s="242"/>
      <c r="AL21" s="251"/>
      <c r="AM21" s="242"/>
      <c r="AN21" s="251"/>
      <c r="AO21" s="242"/>
      <c r="AP21" s="242"/>
      <c r="AQ21" s="250" t="str">
        <f t="shared" si="20"/>
        <v/>
      </c>
      <c r="AR21" s="251"/>
      <c r="AS21" s="251"/>
      <c r="AT21" s="249">
        <f t="shared" si="21"/>
        <v>0</v>
      </c>
      <c r="AU21" s="239">
        <f t="shared" si="22"/>
        <v>0</v>
      </c>
      <c r="AV21" s="227"/>
      <c r="AW21" s="272"/>
      <c r="AX21" s="225"/>
      <c r="AY21" s="242">
        <f t="shared" ref="AY21:AY28" si="39">ROUND(BA21/2,1)</f>
        <v>2.5</v>
      </c>
      <c r="AZ21" s="241">
        <v>1</v>
      </c>
      <c r="BA21" s="241">
        <v>5</v>
      </c>
      <c r="BB21" s="241"/>
      <c r="BC21" s="242">
        <f t="shared" si="24"/>
        <v>8.5</v>
      </c>
      <c r="BD21" s="251"/>
      <c r="BE21" s="239">
        <f t="shared" si="25"/>
        <v>935</v>
      </c>
      <c r="BF21" s="275"/>
    </row>
    <row r="22" s="156" customFormat="1" ht="22.15" hidden="1" customHeight="1" spans="1:58">
      <c r="A22" s="182">
        <f>设备类勘察表!A20</f>
        <v>16</v>
      </c>
      <c r="B22" s="182" t="str">
        <f>设备类勘察表!B20</f>
        <v>叉车</v>
      </c>
      <c r="C22" s="182" t="str">
        <f>设备类勘察表!C20</f>
        <v>3吨杭叉</v>
      </c>
      <c r="D22" s="182" t="str">
        <f>设备类勘察表!D20</f>
        <v>浙江杭叉</v>
      </c>
      <c r="E22" s="182" t="str">
        <f>设备类勘察表!G20</f>
        <v>台</v>
      </c>
      <c r="F22" s="182">
        <f>设备类勘察表!F20</f>
        <v>1</v>
      </c>
      <c r="G22" s="183" t="s">
        <v>343</v>
      </c>
      <c r="H22" s="184">
        <f t="shared" si="27"/>
        <v>58000</v>
      </c>
      <c r="I22" s="199">
        <f t="shared" si="28"/>
        <v>0</v>
      </c>
      <c r="J22" s="199">
        <f t="shared" si="29"/>
        <v>0</v>
      </c>
      <c r="K22" s="200">
        <f t="shared" ref="K22:K29" si="40">AU22</f>
        <v>0</v>
      </c>
      <c r="L22" s="182">
        <f t="shared" ref="L22:L29" si="41">AY22</f>
        <v>0</v>
      </c>
      <c r="M22" s="182">
        <f t="shared" ref="M22:M29" si="42">AZ22</f>
        <v>0</v>
      </c>
      <c r="N22" s="182">
        <f t="shared" ref="N22:N29" si="43">BA22</f>
        <v>0</v>
      </c>
      <c r="O22" s="182">
        <f t="shared" ref="O22:O29" si="44">BB22</f>
        <v>0</v>
      </c>
      <c r="P22" s="182">
        <f t="shared" ref="P22:P29" si="45">BC22</f>
        <v>0</v>
      </c>
      <c r="Q22" s="223">
        <f t="shared" ref="Q22:Q29" si="46">BE22</f>
        <v>500</v>
      </c>
      <c r="R22" s="224" t="str">
        <f t="shared" ref="R22:R29" si="47">BF22</f>
        <v>500元/台</v>
      </c>
      <c r="S22" s="224"/>
      <c r="T22" s="202"/>
      <c r="U22" s="225">
        <v>58000</v>
      </c>
      <c r="V22" s="225"/>
      <c r="W22" s="227"/>
      <c r="X22" s="227"/>
      <c r="Y22" s="227"/>
      <c r="Z22" s="227"/>
      <c r="AA22" s="227"/>
      <c r="AB22" s="239">
        <f t="shared" si="38"/>
        <v>58000</v>
      </c>
      <c r="AC22" s="240" t="str">
        <f>设备类勘察表!E20</f>
        <v>2006年1月</v>
      </c>
      <c r="AD22" s="241"/>
      <c r="AE22" s="242">
        <f>IF(AD22=0,0,IF(G22="否",ROUND((设定!$C$4-机器设备及辅助设施评估明细表!AC22)/365,2),0))</f>
        <v>0</v>
      </c>
      <c r="AF22" s="242">
        <f t="shared" si="16"/>
        <v>0</v>
      </c>
      <c r="AG22" s="249">
        <f t="shared" si="17"/>
        <v>0</v>
      </c>
      <c r="AH22" s="249"/>
      <c r="AI22" s="250" t="str">
        <f t="shared" si="18"/>
        <v/>
      </c>
      <c r="AJ22" s="251"/>
      <c r="AK22" s="242">
        <f>IF(AH22="年限法",0,IF(AJ22=0,0,VLOOKUP(AJ22,成新率说明!$H$3:$I$6,2,0)))</f>
        <v>0</v>
      </c>
      <c r="AL22" s="251"/>
      <c r="AM22" s="242">
        <f>IF(AL22="",0,VLOOKUP(AL22,成新率说明!$H$7:$I$11,2,0))</f>
        <v>0</v>
      </c>
      <c r="AN22" s="251"/>
      <c r="AO22" s="242">
        <f>IF(AH22="年限法",0,IF(AN22=0,0,VLOOKUP(AN22,成新率说明!$H$12:$I$15,2,0)))</f>
        <v>0</v>
      </c>
      <c r="AP22" s="242">
        <f>AK22+AM22+AO22</f>
        <v>0</v>
      </c>
      <c r="AQ22" s="250" t="str">
        <f t="shared" si="20"/>
        <v/>
      </c>
      <c r="AR22" s="251"/>
      <c r="AS22" s="251"/>
      <c r="AT22" s="249">
        <f t="shared" si="21"/>
        <v>0</v>
      </c>
      <c r="AU22" s="239">
        <f t="shared" si="22"/>
        <v>0</v>
      </c>
      <c r="AV22" s="227"/>
      <c r="AW22" s="272">
        <f>IF(AV22="",0,VLOOKUP(AV22,残值率参考表!$C$4:$D$23,2,0))</f>
        <v>0</v>
      </c>
      <c r="AX22" s="225">
        <v>500</v>
      </c>
      <c r="AY22" s="242">
        <f t="shared" si="39"/>
        <v>0</v>
      </c>
      <c r="AZ22" s="241"/>
      <c r="BA22" s="241"/>
      <c r="BB22" s="241"/>
      <c r="BC22" s="242">
        <f t="shared" si="24"/>
        <v>0</v>
      </c>
      <c r="BD22" s="251"/>
      <c r="BE22" s="239">
        <f t="shared" si="25"/>
        <v>500</v>
      </c>
      <c r="BF22" s="275" t="str">
        <f t="shared" ref="BF22:BF49" si="48">IF(AW22=0,IF(AX22=0,"",AX22&amp;"元/"&amp;E22),("扣除"&amp;AW22*100&amp;"%残值"))</f>
        <v>500元/台</v>
      </c>
    </row>
    <row r="23" s="156" customFormat="1" ht="22.15" hidden="1" customHeight="1" spans="1:58">
      <c r="A23" s="182">
        <f>设备类勘察表!A21</f>
        <v>17</v>
      </c>
      <c r="B23" s="182" t="str">
        <f>设备类勘察表!B21</f>
        <v>磨床</v>
      </c>
      <c r="C23" s="182" t="str">
        <f>设备类勘察表!C21</f>
        <v>外圆磨床</v>
      </c>
      <c r="D23" s="182" t="str">
        <f>设备类勘察表!D21</f>
        <v>上海机械厂</v>
      </c>
      <c r="E23" s="182" t="str">
        <f>设备类勘察表!G21</f>
        <v>台</v>
      </c>
      <c r="F23" s="182">
        <f>设备类勘察表!F21</f>
        <v>1</v>
      </c>
      <c r="G23" s="183" t="s">
        <v>343</v>
      </c>
      <c r="H23" s="184">
        <f t="shared" ref="H22:H45" si="49">AB23</f>
        <v>146000</v>
      </c>
      <c r="I23" s="199">
        <f t="shared" si="28"/>
        <v>0</v>
      </c>
      <c r="J23" s="199">
        <f t="shared" si="29"/>
        <v>0</v>
      </c>
      <c r="K23" s="200">
        <f t="shared" si="40"/>
        <v>0</v>
      </c>
      <c r="L23" s="182">
        <f t="shared" si="41"/>
        <v>2</v>
      </c>
      <c r="M23" s="182">
        <f t="shared" si="42"/>
        <v>1</v>
      </c>
      <c r="N23" s="182">
        <f t="shared" si="43"/>
        <v>4</v>
      </c>
      <c r="O23" s="182">
        <f t="shared" si="44"/>
        <v>0</v>
      </c>
      <c r="P23" s="182">
        <f t="shared" si="45"/>
        <v>7</v>
      </c>
      <c r="Q23" s="223">
        <f t="shared" si="46"/>
        <v>10220</v>
      </c>
      <c r="R23" s="224" t="str">
        <f t="shared" si="47"/>
        <v/>
      </c>
      <c r="S23" s="224"/>
      <c r="T23" s="202"/>
      <c r="U23" s="225">
        <v>146000</v>
      </c>
      <c r="V23" s="229" t="str">
        <f>_xlfn.DISPIMG("ID_471EFB2427C94815B7BEBE4E0C7EE085",1)</f>
        <v>=DISPIMG("ID_471EFB2427C94815B7BEBE4E0C7EE085",1)</v>
      </c>
      <c r="W23" s="227"/>
      <c r="X23" s="227"/>
      <c r="Y23" s="227"/>
      <c r="Z23" s="227"/>
      <c r="AA23" s="227"/>
      <c r="AB23" s="239">
        <f t="shared" ref="AB22:AB49" si="50">ROUND((U23*(1+W23+X23+Y23)*(1+Z23)*(1+AA23))*F23,0)</f>
        <v>146000</v>
      </c>
      <c r="AC23" s="240" t="str">
        <f>设备类勘察表!E21</f>
        <v>2006年1月</v>
      </c>
      <c r="AD23" s="241"/>
      <c r="AE23" s="242">
        <f>IF(AD23=0,0,IF(G23="否",ROUND((设定!$C$4-机器设备及辅助设施评估明细表!AC23)/365,2),0))</f>
        <v>0</v>
      </c>
      <c r="AF23" s="242">
        <f t="shared" si="16"/>
        <v>0</v>
      </c>
      <c r="AG23" s="249">
        <f t="shared" si="17"/>
        <v>0</v>
      </c>
      <c r="AH23" s="249"/>
      <c r="AI23" s="250" t="str">
        <f t="shared" si="18"/>
        <v/>
      </c>
      <c r="AJ23" s="251"/>
      <c r="AK23" s="242">
        <f>IF(AH23="年限法",0,IF(AJ23=0,0,VLOOKUP(AJ23,成新率说明!$H$3:$I$6,2,0)))</f>
        <v>0</v>
      </c>
      <c r="AL23" s="251"/>
      <c r="AM23" s="242">
        <f>IF(AL23="",0,VLOOKUP(AL23,成新率说明!$H$7:$I$11,2,0))</f>
        <v>0</v>
      </c>
      <c r="AN23" s="251"/>
      <c r="AO23" s="242">
        <f>IF(AH23="年限法",0,IF(AN23=0,0,VLOOKUP(AN23,成新率说明!$H$12:$I$15,2,0)))</f>
        <v>0</v>
      </c>
      <c r="AP23" s="242">
        <f>AK23+AM23+AO23</f>
        <v>0</v>
      </c>
      <c r="AQ23" s="250" t="str">
        <f t="shared" si="20"/>
        <v/>
      </c>
      <c r="AR23" s="251"/>
      <c r="AS23" s="251"/>
      <c r="AT23" s="249">
        <f t="shared" si="21"/>
        <v>0</v>
      </c>
      <c r="AU23" s="239">
        <f t="shared" si="22"/>
        <v>0</v>
      </c>
      <c r="AV23" s="227"/>
      <c r="AW23" s="272">
        <f>IF(AV23="",0,VLOOKUP(AV23,残值率参考表!$C$4:$D$23,2,0))</f>
        <v>0</v>
      </c>
      <c r="AX23" s="225"/>
      <c r="AY23" s="242">
        <f t="shared" si="39"/>
        <v>2</v>
      </c>
      <c r="AZ23" s="241">
        <v>1</v>
      </c>
      <c r="BA23" s="241">
        <v>4</v>
      </c>
      <c r="BB23" s="241"/>
      <c r="BC23" s="242">
        <f t="shared" si="24"/>
        <v>7</v>
      </c>
      <c r="BD23" s="251"/>
      <c r="BE23" s="239">
        <f t="shared" ref="BE23:BE39" si="51">IF(AX23=0,IF(G23="可",ROUND(AB23*BC23/100,0),ROUND(AB23*(AT23-AW23),0)),ROUND(AX23*F23,0))</f>
        <v>10220</v>
      </c>
      <c r="BF23" s="275" t="str">
        <f t="shared" si="48"/>
        <v/>
      </c>
    </row>
    <row r="24" s="156" customFormat="1" ht="22.15" hidden="1" customHeight="1" spans="1:58">
      <c r="A24" s="182">
        <f>设备类勘察表!A22</f>
        <v>18</v>
      </c>
      <c r="B24" s="182" t="str">
        <f>设备类勘察表!B22</f>
        <v>行车</v>
      </c>
      <c r="C24" s="182" t="str">
        <f>设备类勘察表!C22</f>
        <v>2T</v>
      </c>
      <c r="D24" s="182" t="str">
        <f>设备类勘察表!D22</f>
        <v>江阴市腾祥起重机械有限公司</v>
      </c>
      <c r="E24" s="182" t="str">
        <f>设备类勘察表!G22</f>
        <v>台</v>
      </c>
      <c r="F24" s="182">
        <f>设备类勘察表!F22</f>
        <v>6</v>
      </c>
      <c r="G24" s="183" t="s">
        <v>343</v>
      </c>
      <c r="H24" s="184">
        <f t="shared" si="49"/>
        <v>192000</v>
      </c>
      <c r="I24" s="199">
        <f t="shared" si="28"/>
        <v>0</v>
      </c>
      <c r="J24" s="199">
        <f t="shared" si="29"/>
        <v>0</v>
      </c>
      <c r="K24" s="200">
        <f t="shared" si="40"/>
        <v>0</v>
      </c>
      <c r="L24" s="182">
        <f t="shared" si="41"/>
        <v>5</v>
      </c>
      <c r="M24" s="182">
        <f t="shared" si="42"/>
        <v>1</v>
      </c>
      <c r="N24" s="182">
        <f t="shared" si="43"/>
        <v>10</v>
      </c>
      <c r="O24" s="182">
        <f t="shared" si="44"/>
        <v>10</v>
      </c>
      <c r="P24" s="182">
        <f t="shared" si="45"/>
        <v>26</v>
      </c>
      <c r="Q24" s="223">
        <f t="shared" si="46"/>
        <v>49920</v>
      </c>
      <c r="R24" s="224" t="str">
        <f t="shared" si="47"/>
        <v/>
      </c>
      <c r="S24" s="224"/>
      <c r="T24" s="202"/>
      <c r="U24" s="225">
        <v>32000</v>
      </c>
      <c r="V24" s="226" t="s">
        <v>389</v>
      </c>
      <c r="W24" s="227"/>
      <c r="X24" s="227"/>
      <c r="Y24" s="227"/>
      <c r="Z24" s="227"/>
      <c r="AA24" s="227"/>
      <c r="AB24" s="239">
        <f t="shared" si="50"/>
        <v>192000</v>
      </c>
      <c r="AC24" s="240" t="str">
        <f>设备类勘察表!E22</f>
        <v>2016年10月</v>
      </c>
      <c r="AD24" s="241"/>
      <c r="AE24" s="242">
        <f>IF(AD24=0,0,IF(G24="否",ROUND((设定!$C$4-机器设备及辅助设施评估明细表!AC24)/365,2),0))</f>
        <v>0</v>
      </c>
      <c r="AF24" s="242">
        <f t="shared" si="16"/>
        <v>0</v>
      </c>
      <c r="AG24" s="249">
        <f t="shared" si="17"/>
        <v>0</v>
      </c>
      <c r="AH24" s="249"/>
      <c r="AI24" s="250" t="str">
        <f t="shared" si="18"/>
        <v/>
      </c>
      <c r="AJ24" s="251"/>
      <c r="AK24" s="242">
        <f>IF(AH24="年限法",0,IF(AJ24=0,0,VLOOKUP(AJ24,成新率说明!$H$3:$I$6,2,0)))</f>
        <v>0</v>
      </c>
      <c r="AL24" s="251"/>
      <c r="AM24" s="242">
        <f>IF(AL24="",0,VLOOKUP(AL24,成新率说明!$H$7:$I$11,2,0))</f>
        <v>0</v>
      </c>
      <c r="AN24" s="251"/>
      <c r="AO24" s="242">
        <f>IF(AH24="年限法",0,IF(AN24=0,0,VLOOKUP(AN24,成新率说明!$H$12:$I$15,2,0)))</f>
        <v>0</v>
      </c>
      <c r="AP24" s="242">
        <f>AK24+AM24+AO24</f>
        <v>0</v>
      </c>
      <c r="AQ24" s="250" t="str">
        <f t="shared" si="20"/>
        <v/>
      </c>
      <c r="AR24" s="251"/>
      <c r="AS24" s="251"/>
      <c r="AT24" s="249">
        <f t="shared" si="21"/>
        <v>0</v>
      </c>
      <c r="AU24" s="239">
        <f t="shared" ref="AU22:AU37" si="52">ROUND(AB24*AT24/100,0)</f>
        <v>0</v>
      </c>
      <c r="AV24" s="227"/>
      <c r="AW24" s="272">
        <f>IF(AV24="",0,VLOOKUP(AV24,残值率参考表!$C$4:$D$23,2,0))</f>
        <v>0</v>
      </c>
      <c r="AX24" s="225"/>
      <c r="AY24" s="242">
        <f t="shared" si="39"/>
        <v>5</v>
      </c>
      <c r="AZ24" s="241">
        <v>1</v>
      </c>
      <c r="BA24" s="241">
        <v>10</v>
      </c>
      <c r="BB24" s="241">
        <v>10</v>
      </c>
      <c r="BC24" s="242">
        <f t="shared" si="24"/>
        <v>26</v>
      </c>
      <c r="BD24" s="251"/>
      <c r="BE24" s="239">
        <f t="shared" si="51"/>
        <v>49920</v>
      </c>
      <c r="BF24" s="275" t="str">
        <f t="shared" si="48"/>
        <v/>
      </c>
    </row>
    <row r="25" s="156" customFormat="1" ht="22.15" hidden="1" customHeight="1" spans="1:58">
      <c r="A25" s="182">
        <f>设备类勘察表!A23</f>
        <v>19</v>
      </c>
      <c r="B25" s="182" t="str">
        <f>设备类勘察表!B23</f>
        <v>行车</v>
      </c>
      <c r="C25" s="182" t="str">
        <f>设备类勘察表!C23</f>
        <v>2.9T</v>
      </c>
      <c r="D25" s="182" t="str">
        <f>设备类勘察表!D23</f>
        <v>江阴市鑫马起重机械有限公司</v>
      </c>
      <c r="E25" s="182" t="str">
        <f>设备类勘察表!G23</f>
        <v>台</v>
      </c>
      <c r="F25" s="182">
        <f>设备类勘察表!F23</f>
        <v>2</v>
      </c>
      <c r="G25" s="183" t="s">
        <v>343</v>
      </c>
      <c r="H25" s="184">
        <f t="shared" si="49"/>
        <v>70000</v>
      </c>
      <c r="I25" s="199">
        <f t="shared" si="28"/>
        <v>0</v>
      </c>
      <c r="J25" s="199">
        <f t="shared" si="29"/>
        <v>0</v>
      </c>
      <c r="K25" s="200">
        <f t="shared" si="40"/>
        <v>0</v>
      </c>
      <c r="L25" s="182">
        <f t="shared" si="41"/>
        <v>5</v>
      </c>
      <c r="M25" s="182">
        <f t="shared" si="42"/>
        <v>1</v>
      </c>
      <c r="N25" s="182">
        <f t="shared" si="43"/>
        <v>10</v>
      </c>
      <c r="O25" s="182">
        <f t="shared" si="44"/>
        <v>10</v>
      </c>
      <c r="P25" s="182">
        <f t="shared" si="45"/>
        <v>26</v>
      </c>
      <c r="Q25" s="223">
        <f t="shared" si="46"/>
        <v>18200</v>
      </c>
      <c r="R25" s="224" t="str">
        <f t="shared" si="47"/>
        <v/>
      </c>
      <c r="S25" s="224"/>
      <c r="T25" s="202"/>
      <c r="U25" s="225">
        <v>35000</v>
      </c>
      <c r="V25" s="226" t="s">
        <v>389</v>
      </c>
      <c r="W25" s="227"/>
      <c r="X25" s="227"/>
      <c r="Y25" s="227"/>
      <c r="Z25" s="227"/>
      <c r="AA25" s="227"/>
      <c r="AB25" s="239">
        <f t="shared" si="50"/>
        <v>70000</v>
      </c>
      <c r="AC25" s="240" t="str">
        <f>设备类勘察表!E23</f>
        <v>2011年3月</v>
      </c>
      <c r="AD25" s="241"/>
      <c r="AE25" s="242">
        <f>IF(AD25=0,0,IF(G25="否",ROUND((设定!$C$4-机器设备及辅助设施评估明细表!AC25)/365,2),0))</f>
        <v>0</v>
      </c>
      <c r="AF25" s="242">
        <f t="shared" si="16"/>
        <v>0</v>
      </c>
      <c r="AG25" s="249">
        <f t="shared" si="17"/>
        <v>0</v>
      </c>
      <c r="AH25" s="249"/>
      <c r="AI25" s="250" t="str">
        <f t="shared" si="18"/>
        <v/>
      </c>
      <c r="AJ25" s="251"/>
      <c r="AK25" s="242">
        <f>IF(AH25="年限法",0,IF(AJ25=0,0,VLOOKUP(AJ25,成新率说明!$H$3:$I$6,2,0)))</f>
        <v>0</v>
      </c>
      <c r="AL25" s="251"/>
      <c r="AM25" s="242">
        <f>IF(AL25="",0,VLOOKUP(AL25,成新率说明!$H$7:$I$11,2,0))</f>
        <v>0</v>
      </c>
      <c r="AN25" s="251"/>
      <c r="AO25" s="242">
        <f>IF(AH25="年限法",0,IF(AN25=0,0,VLOOKUP(AN25,成新率说明!$H$12:$I$15,2,0)))</f>
        <v>0</v>
      </c>
      <c r="AP25" s="242">
        <f>AK25+AM25+AO25</f>
        <v>0</v>
      </c>
      <c r="AQ25" s="250" t="str">
        <f t="shared" si="20"/>
        <v/>
      </c>
      <c r="AR25" s="251"/>
      <c r="AS25" s="251"/>
      <c r="AT25" s="249">
        <f t="shared" si="21"/>
        <v>0</v>
      </c>
      <c r="AU25" s="239">
        <f t="shared" si="52"/>
        <v>0</v>
      </c>
      <c r="AV25" s="227"/>
      <c r="AW25" s="272">
        <f>IF(AV25="",0,VLOOKUP(AV25,残值率参考表!$C$4:$D$23,2,0))</f>
        <v>0</v>
      </c>
      <c r="AX25" s="225"/>
      <c r="AY25" s="242">
        <f t="shared" si="39"/>
        <v>5</v>
      </c>
      <c r="AZ25" s="241">
        <v>1</v>
      </c>
      <c r="BA25" s="241">
        <v>10</v>
      </c>
      <c r="BB25" s="241">
        <v>10</v>
      </c>
      <c r="BC25" s="242">
        <f t="shared" ref="BC22:BC43" si="53">AX25+AY25+AZ25+BA25+BB25</f>
        <v>26</v>
      </c>
      <c r="BD25" s="251"/>
      <c r="BE25" s="239">
        <f t="shared" si="51"/>
        <v>18200</v>
      </c>
      <c r="BF25" s="275" t="str">
        <f t="shared" si="48"/>
        <v/>
      </c>
    </row>
    <row r="26" s="156" customFormat="1" ht="22.15" hidden="1" customHeight="1" spans="1:58">
      <c r="A26" s="182">
        <f>设备类勘察表!A24</f>
        <v>20</v>
      </c>
      <c r="B26" s="182" t="str">
        <f>设备类勘察表!B24</f>
        <v>行车</v>
      </c>
      <c r="C26" s="182" t="str">
        <f>设备类勘察表!C24</f>
        <v>5T</v>
      </c>
      <c r="D26" s="182" t="str">
        <f>设备类勘察表!D24</f>
        <v>江阴市鑫马起重机械有限公司</v>
      </c>
      <c r="E26" s="182" t="str">
        <f>设备类勘察表!G24</f>
        <v>台</v>
      </c>
      <c r="F26" s="182">
        <f>设备类勘察表!F24</f>
        <v>1</v>
      </c>
      <c r="G26" s="183" t="s">
        <v>343</v>
      </c>
      <c r="H26" s="184">
        <f t="shared" si="49"/>
        <v>49000</v>
      </c>
      <c r="I26" s="199">
        <f t="shared" ref="I26:I72" si="54">AT26</f>
        <v>0</v>
      </c>
      <c r="J26" s="199">
        <f t="shared" ref="J26:J72" si="55">AW26</f>
        <v>0</v>
      </c>
      <c r="K26" s="200">
        <f t="shared" si="40"/>
        <v>0</v>
      </c>
      <c r="L26" s="182">
        <f t="shared" si="41"/>
        <v>5</v>
      </c>
      <c r="M26" s="182">
        <f t="shared" si="42"/>
        <v>1</v>
      </c>
      <c r="N26" s="182">
        <f t="shared" si="43"/>
        <v>10</v>
      </c>
      <c r="O26" s="182">
        <f t="shared" si="44"/>
        <v>10</v>
      </c>
      <c r="P26" s="182">
        <f t="shared" si="45"/>
        <v>26</v>
      </c>
      <c r="Q26" s="223">
        <f t="shared" si="46"/>
        <v>12740</v>
      </c>
      <c r="R26" s="224" t="str">
        <f t="shared" si="47"/>
        <v/>
      </c>
      <c r="S26" s="224"/>
      <c r="T26" s="202"/>
      <c r="U26" s="225">
        <v>49000</v>
      </c>
      <c r="V26" s="226" t="s">
        <v>389</v>
      </c>
      <c r="W26" s="227"/>
      <c r="X26" s="227"/>
      <c r="Y26" s="227"/>
      <c r="Z26" s="227"/>
      <c r="AA26" s="227"/>
      <c r="AB26" s="239">
        <f t="shared" si="50"/>
        <v>49000</v>
      </c>
      <c r="AC26" s="240" t="str">
        <f>设备类勘察表!E24</f>
        <v>2012年9月</v>
      </c>
      <c r="AD26" s="241"/>
      <c r="AE26" s="242">
        <f>IF(AD26=0,0,IF(G26="否",ROUND((设定!$C$4-机器设备及辅助设施评估明细表!AC26)/365,2),0))</f>
        <v>0</v>
      </c>
      <c r="AF26" s="242">
        <f t="shared" si="16"/>
        <v>0</v>
      </c>
      <c r="AG26" s="249">
        <f t="shared" si="17"/>
        <v>0</v>
      </c>
      <c r="AH26" s="249"/>
      <c r="AI26" s="250" t="str">
        <f t="shared" si="18"/>
        <v/>
      </c>
      <c r="AJ26" s="251"/>
      <c r="AK26" s="242">
        <f>IF(AH26="年限法",0,IF(AJ26=0,0,VLOOKUP(AJ26,成新率说明!$H$3:$I$6,2,0)))</f>
        <v>0</v>
      </c>
      <c r="AL26" s="251"/>
      <c r="AM26" s="242">
        <f>IF(AL26="",0,VLOOKUP(AL26,成新率说明!$H$7:$I$11,2,0))</f>
        <v>0</v>
      </c>
      <c r="AN26" s="251"/>
      <c r="AO26" s="242">
        <f>IF(AH26="年限法",0,IF(AN26=0,0,VLOOKUP(AN26,成新率说明!$H$12:$I$15,2,0)))</f>
        <v>0</v>
      </c>
      <c r="AP26" s="242">
        <f>AK26+AM26+AO26</f>
        <v>0</v>
      </c>
      <c r="AQ26" s="250" t="str">
        <f t="shared" si="20"/>
        <v/>
      </c>
      <c r="AR26" s="251"/>
      <c r="AS26" s="251"/>
      <c r="AT26" s="249">
        <f t="shared" si="21"/>
        <v>0</v>
      </c>
      <c r="AU26" s="239">
        <f t="shared" si="52"/>
        <v>0</v>
      </c>
      <c r="AV26" s="227"/>
      <c r="AW26" s="272">
        <f>IF(AV26="",0,VLOOKUP(AV26,残值率参考表!$C$4:$D$23,2,0))</f>
        <v>0</v>
      </c>
      <c r="AX26" s="225"/>
      <c r="AY26" s="242">
        <f t="shared" si="39"/>
        <v>5</v>
      </c>
      <c r="AZ26" s="241">
        <v>1</v>
      </c>
      <c r="BA26" s="241">
        <v>10</v>
      </c>
      <c r="BB26" s="241">
        <v>10</v>
      </c>
      <c r="BC26" s="242">
        <f t="shared" si="53"/>
        <v>26</v>
      </c>
      <c r="BD26" s="251"/>
      <c r="BE26" s="239">
        <f t="shared" si="51"/>
        <v>12740</v>
      </c>
      <c r="BF26" s="275" t="str">
        <f t="shared" si="48"/>
        <v/>
      </c>
    </row>
    <row r="27" s="156" customFormat="1" ht="22.15" hidden="1" customHeight="1" spans="1:58">
      <c r="A27" s="182">
        <f>设备类勘察表!A25</f>
        <v>21</v>
      </c>
      <c r="B27" s="182" t="str">
        <f>设备类勘察表!B25</f>
        <v>葫芦</v>
      </c>
      <c r="C27" s="182" t="str">
        <f>设备类勘察表!C25</f>
        <v>800KG</v>
      </c>
      <c r="D27" s="182">
        <f>设备类勘察表!D25</f>
        <v>0</v>
      </c>
      <c r="E27" s="182" t="str">
        <f>设备类勘察表!G25</f>
        <v>台</v>
      </c>
      <c r="F27" s="182">
        <f>设备类勘察表!F25</f>
        <v>4</v>
      </c>
      <c r="G27" s="183" t="s">
        <v>343</v>
      </c>
      <c r="H27" s="184">
        <f t="shared" si="49"/>
        <v>12000</v>
      </c>
      <c r="I27" s="199">
        <f t="shared" si="54"/>
        <v>0</v>
      </c>
      <c r="J27" s="199">
        <f t="shared" si="55"/>
        <v>0</v>
      </c>
      <c r="K27" s="200">
        <f t="shared" si="40"/>
        <v>0</v>
      </c>
      <c r="L27" s="182">
        <f t="shared" si="41"/>
        <v>5</v>
      </c>
      <c r="M27" s="182">
        <f t="shared" si="42"/>
        <v>1</v>
      </c>
      <c r="N27" s="182">
        <f t="shared" si="43"/>
        <v>10</v>
      </c>
      <c r="O27" s="182">
        <f t="shared" si="44"/>
        <v>0</v>
      </c>
      <c r="P27" s="182">
        <f t="shared" si="45"/>
        <v>16</v>
      </c>
      <c r="Q27" s="223">
        <f t="shared" si="46"/>
        <v>1920</v>
      </c>
      <c r="R27" s="224" t="str">
        <f t="shared" si="47"/>
        <v/>
      </c>
      <c r="S27" s="224"/>
      <c r="T27" s="202"/>
      <c r="U27" s="225">
        <v>3000</v>
      </c>
      <c r="V27" s="226" t="s">
        <v>392</v>
      </c>
      <c r="W27" s="227"/>
      <c r="X27" s="227"/>
      <c r="Y27" s="227"/>
      <c r="Z27" s="227"/>
      <c r="AA27" s="227"/>
      <c r="AB27" s="239">
        <f t="shared" si="50"/>
        <v>12000</v>
      </c>
      <c r="AC27" s="240" t="str">
        <f>设备类勘察表!E25</f>
        <v>2011年3月</v>
      </c>
      <c r="AD27" s="241"/>
      <c r="AE27" s="242">
        <f>IF(AD27=0,0,IF(G27="否",ROUND((设定!$C$4-机器设备及辅助设施评估明细表!AC27)/365,2),0))</f>
        <v>0</v>
      </c>
      <c r="AF27" s="242">
        <f t="shared" si="16"/>
        <v>0</v>
      </c>
      <c r="AG27" s="249">
        <f t="shared" si="17"/>
        <v>0</v>
      </c>
      <c r="AH27" s="249"/>
      <c r="AI27" s="250" t="str">
        <f t="shared" si="18"/>
        <v/>
      </c>
      <c r="AJ27" s="251"/>
      <c r="AK27" s="242"/>
      <c r="AL27" s="251"/>
      <c r="AM27" s="242"/>
      <c r="AN27" s="251"/>
      <c r="AO27" s="242"/>
      <c r="AP27" s="242"/>
      <c r="AQ27" s="250" t="str">
        <f t="shared" si="20"/>
        <v/>
      </c>
      <c r="AR27" s="251"/>
      <c r="AS27" s="251"/>
      <c r="AT27" s="249">
        <f t="shared" si="21"/>
        <v>0</v>
      </c>
      <c r="AU27" s="239">
        <f t="shared" si="52"/>
        <v>0</v>
      </c>
      <c r="AV27" s="227"/>
      <c r="AW27" s="272">
        <f>IF(AV27="",0,VLOOKUP(AV27,残值率参考表!$C$4:$D$23,2,0))</f>
        <v>0</v>
      </c>
      <c r="AX27" s="225"/>
      <c r="AY27" s="242">
        <f t="shared" si="39"/>
        <v>5</v>
      </c>
      <c r="AZ27" s="241">
        <v>1</v>
      </c>
      <c r="BA27" s="241">
        <v>10</v>
      </c>
      <c r="BB27" s="241"/>
      <c r="BC27" s="242">
        <f t="shared" si="53"/>
        <v>16</v>
      </c>
      <c r="BD27" s="251"/>
      <c r="BE27" s="239">
        <f t="shared" si="51"/>
        <v>1920</v>
      </c>
      <c r="BF27" s="275" t="str">
        <f t="shared" si="48"/>
        <v/>
      </c>
    </row>
    <row r="28" s="156" customFormat="1" ht="22.15" hidden="1" customHeight="1" spans="1:58">
      <c r="A28" s="182">
        <f>设备类勘察表!A26</f>
        <v>22</v>
      </c>
      <c r="B28" s="182" t="str">
        <f>设备类勘察表!B26</f>
        <v>泵</v>
      </c>
      <c r="C28" s="182">
        <f>设备类勘察表!C26</f>
        <v>0</v>
      </c>
      <c r="D28" s="182">
        <f>设备类勘察表!D26</f>
        <v>0</v>
      </c>
      <c r="E28" s="182" t="str">
        <f>设备类勘察表!G26</f>
        <v>台</v>
      </c>
      <c r="F28" s="182">
        <f>设备类勘察表!F26</f>
        <v>6</v>
      </c>
      <c r="G28" s="183" t="s">
        <v>343</v>
      </c>
      <c r="H28" s="184">
        <f t="shared" si="49"/>
        <v>2400</v>
      </c>
      <c r="I28" s="199">
        <f t="shared" si="54"/>
        <v>0</v>
      </c>
      <c r="J28" s="199">
        <f t="shared" si="55"/>
        <v>0</v>
      </c>
      <c r="K28" s="200">
        <f t="shared" si="40"/>
        <v>0</v>
      </c>
      <c r="L28" s="182">
        <f t="shared" si="41"/>
        <v>2</v>
      </c>
      <c r="M28" s="182">
        <f t="shared" si="42"/>
        <v>1</v>
      </c>
      <c r="N28" s="182">
        <f t="shared" si="43"/>
        <v>4</v>
      </c>
      <c r="O28" s="182">
        <f t="shared" si="44"/>
        <v>0</v>
      </c>
      <c r="P28" s="182">
        <f t="shared" si="45"/>
        <v>7</v>
      </c>
      <c r="Q28" s="223">
        <f t="shared" si="46"/>
        <v>168</v>
      </c>
      <c r="R28" s="224" t="str">
        <f t="shared" si="47"/>
        <v/>
      </c>
      <c r="S28" s="224"/>
      <c r="T28" s="202"/>
      <c r="U28" s="225">
        <v>400</v>
      </c>
      <c r="V28" s="226" t="s">
        <v>393</v>
      </c>
      <c r="W28" s="227"/>
      <c r="X28" s="227"/>
      <c r="Y28" s="227"/>
      <c r="Z28" s="227"/>
      <c r="AA28" s="227"/>
      <c r="AB28" s="239">
        <f t="shared" si="50"/>
        <v>2400</v>
      </c>
      <c r="AC28" s="240" t="str">
        <f>设备类勘察表!E26</f>
        <v>2011年3月</v>
      </c>
      <c r="AD28" s="241"/>
      <c r="AE28" s="242">
        <f>IF(AD28=0,0,IF(G28="否",ROUND((设定!$C$4-机器设备及辅助设施评估明细表!AC28)/365,2),0))</f>
        <v>0</v>
      </c>
      <c r="AF28" s="242">
        <f t="shared" si="16"/>
        <v>0</v>
      </c>
      <c r="AG28" s="249">
        <f t="shared" si="17"/>
        <v>0</v>
      </c>
      <c r="AH28" s="249"/>
      <c r="AI28" s="250" t="str">
        <f t="shared" si="18"/>
        <v/>
      </c>
      <c r="AJ28" s="251"/>
      <c r="AK28" s="242"/>
      <c r="AL28" s="251"/>
      <c r="AM28" s="242"/>
      <c r="AN28" s="251"/>
      <c r="AO28" s="242"/>
      <c r="AP28" s="242"/>
      <c r="AQ28" s="250" t="str">
        <f t="shared" si="20"/>
        <v/>
      </c>
      <c r="AR28" s="251"/>
      <c r="AS28" s="251"/>
      <c r="AT28" s="249">
        <f t="shared" si="21"/>
        <v>0</v>
      </c>
      <c r="AU28" s="239">
        <f t="shared" si="52"/>
        <v>0</v>
      </c>
      <c r="AV28" s="227"/>
      <c r="AW28" s="272">
        <f>IF(AV28="",0,VLOOKUP(AV28,残值率参考表!$C$4:$D$23,2,0))</f>
        <v>0</v>
      </c>
      <c r="AX28" s="225"/>
      <c r="AY28" s="242">
        <f t="shared" si="39"/>
        <v>2</v>
      </c>
      <c r="AZ28" s="241">
        <v>1</v>
      </c>
      <c r="BA28" s="241">
        <v>4</v>
      </c>
      <c r="BB28" s="241"/>
      <c r="BC28" s="242">
        <f t="shared" si="53"/>
        <v>7</v>
      </c>
      <c r="BD28" s="251"/>
      <c r="BE28" s="239">
        <f t="shared" si="51"/>
        <v>168</v>
      </c>
      <c r="BF28" s="275" t="str">
        <f t="shared" si="48"/>
        <v/>
      </c>
    </row>
    <row r="29" s="156" customFormat="1" ht="22.15" hidden="1" customHeight="1" spans="1:58">
      <c r="A29" s="182">
        <f>设备类勘察表!A27</f>
        <v>23</v>
      </c>
      <c r="B29" s="182" t="str">
        <f>设备类勘察表!B27</f>
        <v>电机</v>
      </c>
      <c r="C29" s="182">
        <f>设备类勘察表!C27</f>
        <v>0</v>
      </c>
      <c r="D29" s="182">
        <f>设备类勘察表!D27</f>
        <v>0</v>
      </c>
      <c r="E29" s="182" t="str">
        <f>设备类勘察表!G27</f>
        <v>台</v>
      </c>
      <c r="F29" s="182">
        <f>设备类勘察表!F27</f>
        <v>30</v>
      </c>
      <c r="G29" s="183" t="s">
        <v>343</v>
      </c>
      <c r="H29" s="184">
        <f t="shared" si="49"/>
        <v>13500</v>
      </c>
      <c r="I29" s="199">
        <f t="shared" si="54"/>
        <v>0</v>
      </c>
      <c r="J29" s="199">
        <f t="shared" si="55"/>
        <v>0</v>
      </c>
      <c r="K29" s="200">
        <f t="shared" si="40"/>
        <v>0</v>
      </c>
      <c r="L29" s="182">
        <f t="shared" si="41"/>
        <v>0</v>
      </c>
      <c r="M29" s="182">
        <f t="shared" si="42"/>
        <v>0</v>
      </c>
      <c r="N29" s="182">
        <f t="shared" si="43"/>
        <v>0</v>
      </c>
      <c r="O29" s="182">
        <f t="shared" si="44"/>
        <v>0</v>
      </c>
      <c r="P29" s="182">
        <f t="shared" si="45"/>
        <v>10</v>
      </c>
      <c r="Q29" s="223">
        <f t="shared" si="46"/>
        <v>300</v>
      </c>
      <c r="R29" s="224" t="str">
        <f t="shared" si="47"/>
        <v>10元/台</v>
      </c>
      <c r="S29" s="224"/>
      <c r="T29" s="202"/>
      <c r="U29" s="225">
        <v>450</v>
      </c>
      <c r="V29" s="226" t="s">
        <v>393</v>
      </c>
      <c r="W29" s="227"/>
      <c r="X29" s="227"/>
      <c r="Y29" s="227"/>
      <c r="Z29" s="227"/>
      <c r="AA29" s="227"/>
      <c r="AB29" s="239">
        <f t="shared" si="50"/>
        <v>13500</v>
      </c>
      <c r="AC29" s="240" t="str">
        <f>设备类勘察表!E27</f>
        <v>2011年3月</v>
      </c>
      <c r="AD29" s="241"/>
      <c r="AE29" s="242">
        <f>IF(AD29=0,0,IF(G29="否",ROUND((设定!$C$4-机器设备及辅助设施评估明细表!AC29)/365,2),0))</f>
        <v>0</v>
      </c>
      <c r="AF29" s="242">
        <f t="shared" si="16"/>
        <v>0</v>
      </c>
      <c r="AG29" s="249">
        <f t="shared" si="17"/>
        <v>0</v>
      </c>
      <c r="AH29" s="249"/>
      <c r="AI29" s="250" t="str">
        <f t="shared" si="18"/>
        <v/>
      </c>
      <c r="AJ29" s="251"/>
      <c r="AK29" s="242"/>
      <c r="AL29" s="251"/>
      <c r="AM29" s="242"/>
      <c r="AN29" s="251"/>
      <c r="AO29" s="242"/>
      <c r="AP29" s="242"/>
      <c r="AQ29" s="250" t="str">
        <f t="shared" si="20"/>
        <v/>
      </c>
      <c r="AR29" s="251"/>
      <c r="AS29" s="251"/>
      <c r="AT29" s="249">
        <f t="shared" si="21"/>
        <v>0</v>
      </c>
      <c r="AU29" s="239">
        <f t="shared" si="52"/>
        <v>0</v>
      </c>
      <c r="AV29" s="227"/>
      <c r="AW29" s="272">
        <f>IF(AV29="",0,VLOOKUP(AV29,残值率参考表!$C$4:$D$23,2,0))</f>
        <v>0</v>
      </c>
      <c r="AX29" s="225">
        <v>10</v>
      </c>
      <c r="AY29" s="242">
        <f t="shared" ref="AY22:AY43" si="56">ROUND(BA29/2,1)</f>
        <v>0</v>
      </c>
      <c r="AZ29" s="241"/>
      <c r="BA29" s="241"/>
      <c r="BB29" s="241"/>
      <c r="BC29" s="242">
        <f t="shared" si="53"/>
        <v>10</v>
      </c>
      <c r="BD29" s="251"/>
      <c r="BE29" s="239">
        <f t="shared" si="51"/>
        <v>300</v>
      </c>
      <c r="BF29" s="275" t="str">
        <f t="shared" si="48"/>
        <v>10元/台</v>
      </c>
    </row>
    <row r="30" s="156" customFormat="1" ht="22.15" hidden="1" customHeight="1" spans="1:58">
      <c r="A30" s="182">
        <f>设备类勘察表!A28</f>
        <v>24</v>
      </c>
      <c r="B30" s="182" t="str">
        <f>设备类勘察表!B28</f>
        <v>烤箱</v>
      </c>
      <c r="C30" s="182">
        <f>设备类勘察表!C28</f>
        <v>0</v>
      </c>
      <c r="D30" s="182">
        <f>设备类勘察表!D28</f>
        <v>0</v>
      </c>
      <c r="E30" s="182" t="str">
        <f>设备类勘察表!G28</f>
        <v>台</v>
      </c>
      <c r="F30" s="182">
        <f>设备类勘察表!F28</f>
        <v>1</v>
      </c>
      <c r="G30" s="183" t="s">
        <v>343</v>
      </c>
      <c r="H30" s="184">
        <f t="shared" si="49"/>
        <v>15000</v>
      </c>
      <c r="I30" s="199">
        <f t="shared" si="54"/>
        <v>0</v>
      </c>
      <c r="J30" s="199">
        <f t="shared" si="55"/>
        <v>0</v>
      </c>
      <c r="K30" s="200">
        <f t="shared" ref="K30:K38" si="57">AU30</f>
        <v>0</v>
      </c>
      <c r="L30" s="182">
        <f t="shared" ref="L30:L38" si="58">AY30</f>
        <v>1</v>
      </c>
      <c r="M30" s="182">
        <f t="shared" ref="M30:M38" si="59">AZ30</f>
        <v>1</v>
      </c>
      <c r="N30" s="182">
        <f t="shared" ref="N30:N38" si="60">BA30</f>
        <v>2</v>
      </c>
      <c r="O30" s="182">
        <f t="shared" ref="O30:O38" si="61">BB30</f>
        <v>0</v>
      </c>
      <c r="P30" s="182">
        <f t="shared" ref="P30:P38" si="62">BC30</f>
        <v>4</v>
      </c>
      <c r="Q30" s="223">
        <f t="shared" ref="Q30:Q38" si="63">BE30</f>
        <v>600</v>
      </c>
      <c r="R30" s="224" t="str">
        <f t="shared" ref="R30:R38" si="64">BF30</f>
        <v/>
      </c>
      <c r="S30" s="224"/>
      <c r="T30" s="202"/>
      <c r="U30" s="225">
        <v>15000</v>
      </c>
      <c r="V30" s="229" t="str">
        <f>_xlfn.DISPIMG("ID_15E2B9C8AFE54EC5BED90AECAF20F7B5",1)</f>
        <v>=DISPIMG("ID_15E2B9C8AFE54EC5BED90AECAF20F7B5",1)</v>
      </c>
      <c r="W30" s="227"/>
      <c r="X30" s="227"/>
      <c r="Y30" s="227"/>
      <c r="Z30" s="227"/>
      <c r="AA30" s="227"/>
      <c r="AB30" s="239">
        <f t="shared" si="50"/>
        <v>15000</v>
      </c>
      <c r="AC30" s="240" t="str">
        <f>设备类勘察表!E28</f>
        <v>2011年3月</v>
      </c>
      <c r="AD30" s="241"/>
      <c r="AE30" s="242">
        <f>IF(AD30=0,0,IF(G30="否",ROUND((设定!$C$4-机器设备及辅助设施评估明细表!AC30)/365,2),0))</f>
        <v>0</v>
      </c>
      <c r="AF30" s="242">
        <f t="shared" si="16"/>
        <v>0</v>
      </c>
      <c r="AG30" s="249">
        <f t="shared" si="17"/>
        <v>0</v>
      </c>
      <c r="AH30" s="249"/>
      <c r="AI30" s="250" t="str">
        <f t="shared" si="18"/>
        <v/>
      </c>
      <c r="AJ30" s="251"/>
      <c r="AK30" s="242"/>
      <c r="AL30" s="251"/>
      <c r="AM30" s="242"/>
      <c r="AN30" s="251"/>
      <c r="AO30" s="242"/>
      <c r="AP30" s="242"/>
      <c r="AQ30" s="250" t="str">
        <f t="shared" si="20"/>
        <v/>
      </c>
      <c r="AR30" s="251"/>
      <c r="AS30" s="251"/>
      <c r="AT30" s="249">
        <f t="shared" si="21"/>
        <v>0</v>
      </c>
      <c r="AU30" s="239">
        <f t="shared" si="52"/>
        <v>0</v>
      </c>
      <c r="AV30" s="227"/>
      <c r="AW30" s="272">
        <f>IF(AV30="",0,VLOOKUP(AV30,残值率参考表!$C$4:$D$23,2,0))</f>
        <v>0</v>
      </c>
      <c r="AX30" s="225"/>
      <c r="AY30" s="242">
        <f t="shared" si="56"/>
        <v>1</v>
      </c>
      <c r="AZ30" s="241">
        <v>1</v>
      </c>
      <c r="BA30" s="241">
        <v>2</v>
      </c>
      <c r="BB30" s="241"/>
      <c r="BC30" s="242">
        <f t="shared" si="53"/>
        <v>4</v>
      </c>
      <c r="BD30" s="251"/>
      <c r="BE30" s="239">
        <f t="shared" si="51"/>
        <v>600</v>
      </c>
      <c r="BF30" s="275" t="str">
        <f t="shared" si="48"/>
        <v/>
      </c>
    </row>
    <row r="31" s="156" customFormat="1" ht="22.15" hidden="1" customHeight="1" spans="1:58">
      <c r="A31" s="182">
        <f>设备类勘察表!A29</f>
        <v>25</v>
      </c>
      <c r="B31" s="182" t="str">
        <f>设备类勘察表!B29</f>
        <v>开水炉</v>
      </c>
      <c r="C31" s="182">
        <f>设备类勘察表!C29</f>
        <v>0</v>
      </c>
      <c r="D31" s="182">
        <f>设备类勘察表!D29</f>
        <v>0</v>
      </c>
      <c r="E31" s="182" t="str">
        <f>设备类勘察表!G29</f>
        <v>只</v>
      </c>
      <c r="F31" s="182">
        <f>设备类勘察表!F29</f>
        <v>1</v>
      </c>
      <c r="G31" s="183" t="s">
        <v>343</v>
      </c>
      <c r="H31" s="184">
        <f t="shared" si="49"/>
        <v>580</v>
      </c>
      <c r="I31" s="199">
        <f t="shared" si="54"/>
        <v>0</v>
      </c>
      <c r="J31" s="199">
        <f t="shared" si="55"/>
        <v>0</v>
      </c>
      <c r="K31" s="200">
        <f t="shared" si="57"/>
        <v>0</v>
      </c>
      <c r="L31" s="182">
        <f t="shared" si="58"/>
        <v>0</v>
      </c>
      <c r="M31" s="182">
        <f t="shared" si="59"/>
        <v>0</v>
      </c>
      <c r="N31" s="182">
        <f t="shared" si="60"/>
        <v>0</v>
      </c>
      <c r="O31" s="182">
        <f t="shared" si="61"/>
        <v>0</v>
      </c>
      <c r="P31" s="182">
        <f t="shared" si="62"/>
        <v>20</v>
      </c>
      <c r="Q31" s="223">
        <f t="shared" si="63"/>
        <v>20</v>
      </c>
      <c r="R31" s="224" t="str">
        <f t="shared" si="64"/>
        <v>20元/只</v>
      </c>
      <c r="S31" s="224"/>
      <c r="T31" s="202"/>
      <c r="U31" s="225">
        <v>580</v>
      </c>
      <c r="V31" s="225"/>
      <c r="W31" s="227"/>
      <c r="X31" s="227"/>
      <c r="Y31" s="227"/>
      <c r="Z31" s="227"/>
      <c r="AA31" s="227"/>
      <c r="AB31" s="239">
        <f t="shared" si="50"/>
        <v>580</v>
      </c>
      <c r="AC31" s="240" t="str">
        <f>设备类勘察表!E29</f>
        <v>2011年3月</v>
      </c>
      <c r="AD31" s="241"/>
      <c r="AE31" s="242">
        <f>IF(AD31=0,0,IF(G31="否",ROUND((设定!$C$4-机器设备及辅助设施评估明细表!AC31)/365,2),0))</f>
        <v>0</v>
      </c>
      <c r="AF31" s="242">
        <f t="shared" si="16"/>
        <v>0</v>
      </c>
      <c r="AG31" s="249">
        <f t="shared" si="17"/>
        <v>0</v>
      </c>
      <c r="AH31" s="249"/>
      <c r="AI31" s="250" t="str">
        <f t="shared" si="18"/>
        <v/>
      </c>
      <c r="AJ31" s="251"/>
      <c r="AK31" s="242"/>
      <c r="AL31" s="251"/>
      <c r="AM31" s="242"/>
      <c r="AN31" s="251"/>
      <c r="AO31" s="242"/>
      <c r="AP31" s="242"/>
      <c r="AQ31" s="250" t="str">
        <f t="shared" si="20"/>
        <v/>
      </c>
      <c r="AR31" s="251"/>
      <c r="AS31" s="251"/>
      <c r="AT31" s="249">
        <f t="shared" si="21"/>
        <v>0</v>
      </c>
      <c r="AU31" s="239">
        <f t="shared" si="52"/>
        <v>0</v>
      </c>
      <c r="AV31" s="227"/>
      <c r="AW31" s="272">
        <f>IF(AV31="",0,VLOOKUP(AV31,残值率参考表!$C$4:$D$23,2,0))</f>
        <v>0</v>
      </c>
      <c r="AX31" s="225">
        <v>20</v>
      </c>
      <c r="AY31" s="242">
        <f t="shared" si="56"/>
        <v>0</v>
      </c>
      <c r="AZ31" s="241"/>
      <c r="BA31" s="241"/>
      <c r="BB31" s="241"/>
      <c r="BC31" s="242">
        <f t="shared" si="53"/>
        <v>20</v>
      </c>
      <c r="BD31" s="251"/>
      <c r="BE31" s="239">
        <f t="shared" si="51"/>
        <v>20</v>
      </c>
      <c r="BF31" s="275" t="str">
        <f t="shared" si="48"/>
        <v>20元/只</v>
      </c>
    </row>
    <row r="32" s="156" customFormat="1" ht="22.15" hidden="1" customHeight="1" spans="1:58">
      <c r="A32" s="182">
        <f>设备类勘察表!A30</f>
        <v>26</v>
      </c>
      <c r="B32" s="182" t="str">
        <f>设备类勘察表!B30</f>
        <v>风帽</v>
      </c>
      <c r="C32" s="182">
        <f>设备类勘察表!C30</f>
        <v>0</v>
      </c>
      <c r="D32" s="182">
        <f>设备类勘察表!D30</f>
        <v>0</v>
      </c>
      <c r="E32" s="182" t="str">
        <f>设备类勘察表!G30</f>
        <v>只</v>
      </c>
      <c r="F32" s="182">
        <f>设备类勘察表!F30</f>
        <v>12</v>
      </c>
      <c r="G32" s="183" t="s">
        <v>343</v>
      </c>
      <c r="H32" s="184">
        <f t="shared" si="49"/>
        <v>1800</v>
      </c>
      <c r="I32" s="199">
        <f t="shared" si="54"/>
        <v>0</v>
      </c>
      <c r="J32" s="199">
        <f t="shared" si="55"/>
        <v>0</v>
      </c>
      <c r="K32" s="200">
        <f t="shared" si="57"/>
        <v>0</v>
      </c>
      <c r="L32" s="182">
        <f t="shared" si="58"/>
        <v>0</v>
      </c>
      <c r="M32" s="182">
        <f t="shared" si="59"/>
        <v>0</v>
      </c>
      <c r="N32" s="182">
        <f t="shared" si="60"/>
        <v>0</v>
      </c>
      <c r="O32" s="182">
        <f t="shared" si="61"/>
        <v>0</v>
      </c>
      <c r="P32" s="182">
        <f t="shared" si="62"/>
        <v>10</v>
      </c>
      <c r="Q32" s="223">
        <f t="shared" si="63"/>
        <v>120</v>
      </c>
      <c r="R32" s="224" t="str">
        <f t="shared" si="64"/>
        <v>10元/只</v>
      </c>
      <c r="S32" s="224"/>
      <c r="T32" s="202"/>
      <c r="U32" s="225">
        <v>150</v>
      </c>
      <c r="V32" s="225"/>
      <c r="W32" s="227"/>
      <c r="X32" s="227"/>
      <c r="Y32" s="227"/>
      <c r="Z32" s="227"/>
      <c r="AA32" s="227"/>
      <c r="AB32" s="239">
        <f t="shared" si="50"/>
        <v>1800</v>
      </c>
      <c r="AC32" s="240" t="str">
        <f>设备类勘察表!E30</f>
        <v>2011年3月</v>
      </c>
      <c r="AD32" s="241"/>
      <c r="AE32" s="242">
        <f>IF(AD32=0,0,IF(G32="否",ROUND((设定!$C$4-机器设备及辅助设施评估明细表!AC32)/365,2),0))</f>
        <v>0</v>
      </c>
      <c r="AF32" s="242">
        <f t="shared" si="16"/>
        <v>0</v>
      </c>
      <c r="AG32" s="249">
        <f t="shared" si="17"/>
        <v>0</v>
      </c>
      <c r="AH32" s="249"/>
      <c r="AI32" s="250" t="str">
        <f t="shared" si="18"/>
        <v/>
      </c>
      <c r="AJ32" s="251"/>
      <c r="AK32" s="242"/>
      <c r="AL32" s="251"/>
      <c r="AM32" s="242"/>
      <c r="AN32" s="251"/>
      <c r="AO32" s="242"/>
      <c r="AP32" s="242"/>
      <c r="AQ32" s="250" t="str">
        <f t="shared" si="20"/>
        <v/>
      </c>
      <c r="AR32" s="251"/>
      <c r="AS32" s="251"/>
      <c r="AT32" s="249">
        <f t="shared" si="21"/>
        <v>0</v>
      </c>
      <c r="AU32" s="239">
        <f t="shared" si="52"/>
        <v>0</v>
      </c>
      <c r="AV32" s="227"/>
      <c r="AW32" s="272">
        <f>IF(AV32="",0,VLOOKUP(AV32,残值率参考表!$C$4:$D$23,2,0))</f>
        <v>0</v>
      </c>
      <c r="AX32" s="225">
        <v>10</v>
      </c>
      <c r="AY32" s="242">
        <f t="shared" si="56"/>
        <v>0</v>
      </c>
      <c r="AZ32" s="241"/>
      <c r="BA32" s="241"/>
      <c r="BB32" s="241"/>
      <c r="BC32" s="242">
        <f t="shared" si="53"/>
        <v>10</v>
      </c>
      <c r="BD32" s="251"/>
      <c r="BE32" s="239">
        <f t="shared" si="51"/>
        <v>120</v>
      </c>
      <c r="BF32" s="275" t="str">
        <f t="shared" si="48"/>
        <v>10元/只</v>
      </c>
    </row>
    <row r="33" s="156" customFormat="1" ht="22.15" hidden="1" customHeight="1" spans="1:58">
      <c r="A33" s="182">
        <f>设备类勘察表!A31</f>
        <v>27</v>
      </c>
      <c r="B33" s="182" t="str">
        <f>设备类勘察表!B31</f>
        <v>储气罐</v>
      </c>
      <c r="C33" s="182">
        <f>设备类勘察表!C31</f>
        <v>0</v>
      </c>
      <c r="D33" s="182">
        <f>设备类勘察表!D31</f>
        <v>0</v>
      </c>
      <c r="E33" s="182" t="str">
        <f>设备类勘察表!G31</f>
        <v>只</v>
      </c>
      <c r="F33" s="182">
        <f>设备类勘察表!F31</f>
        <v>1</v>
      </c>
      <c r="G33" s="183" t="s">
        <v>343</v>
      </c>
      <c r="H33" s="184">
        <f t="shared" si="49"/>
        <v>1800</v>
      </c>
      <c r="I33" s="199">
        <f t="shared" si="54"/>
        <v>0</v>
      </c>
      <c r="J33" s="199">
        <f t="shared" si="55"/>
        <v>0</v>
      </c>
      <c r="K33" s="200">
        <f t="shared" si="57"/>
        <v>0</v>
      </c>
      <c r="L33" s="182">
        <f t="shared" si="58"/>
        <v>1</v>
      </c>
      <c r="M33" s="182">
        <f t="shared" si="59"/>
        <v>1</v>
      </c>
      <c r="N33" s="182">
        <f t="shared" si="60"/>
        <v>2</v>
      </c>
      <c r="O33" s="182">
        <f t="shared" si="61"/>
        <v>0</v>
      </c>
      <c r="P33" s="182">
        <f t="shared" si="62"/>
        <v>4</v>
      </c>
      <c r="Q33" s="223">
        <f t="shared" si="63"/>
        <v>72</v>
      </c>
      <c r="R33" s="224" t="str">
        <f t="shared" si="64"/>
        <v/>
      </c>
      <c r="S33" s="224"/>
      <c r="T33" s="202"/>
      <c r="U33" s="225">
        <v>1800</v>
      </c>
      <c r="V33" s="225"/>
      <c r="W33" s="227"/>
      <c r="X33" s="227"/>
      <c r="Y33" s="227"/>
      <c r="Z33" s="227"/>
      <c r="AA33" s="227"/>
      <c r="AB33" s="239">
        <f t="shared" si="50"/>
        <v>1800</v>
      </c>
      <c r="AC33" s="240" t="str">
        <f>设备类勘察表!E31</f>
        <v>2004年6月</v>
      </c>
      <c r="AD33" s="241"/>
      <c r="AE33" s="242">
        <f>IF(AD33=0,0,IF(G33="否",ROUND((设定!$C$4-机器设备及辅助设施评估明细表!AC33)/365,2),0))</f>
        <v>0</v>
      </c>
      <c r="AF33" s="242">
        <f t="shared" si="16"/>
        <v>0</v>
      </c>
      <c r="AG33" s="249">
        <f t="shared" si="17"/>
        <v>0</v>
      </c>
      <c r="AH33" s="249"/>
      <c r="AI33" s="250" t="str">
        <f t="shared" si="18"/>
        <v/>
      </c>
      <c r="AJ33" s="251"/>
      <c r="AK33" s="242"/>
      <c r="AL33" s="251"/>
      <c r="AM33" s="242"/>
      <c r="AN33" s="251"/>
      <c r="AO33" s="242"/>
      <c r="AP33" s="242"/>
      <c r="AQ33" s="250" t="str">
        <f t="shared" si="20"/>
        <v/>
      </c>
      <c r="AR33" s="251"/>
      <c r="AS33" s="251"/>
      <c r="AT33" s="249">
        <f t="shared" si="21"/>
        <v>0</v>
      </c>
      <c r="AU33" s="239">
        <f t="shared" si="52"/>
        <v>0</v>
      </c>
      <c r="AV33" s="227"/>
      <c r="AW33" s="272">
        <f>IF(AV33="",0,VLOOKUP(AV33,残值率参考表!$C$4:$D$23,2,0))</f>
        <v>0</v>
      </c>
      <c r="AX33" s="225"/>
      <c r="AY33" s="242">
        <f t="shared" si="56"/>
        <v>1</v>
      </c>
      <c r="AZ33" s="241">
        <v>1</v>
      </c>
      <c r="BA33" s="241">
        <v>2</v>
      </c>
      <c r="BB33" s="241"/>
      <c r="BC33" s="242">
        <f t="shared" si="53"/>
        <v>4</v>
      </c>
      <c r="BD33" s="251"/>
      <c r="BE33" s="239">
        <f t="shared" si="51"/>
        <v>72</v>
      </c>
      <c r="BF33" s="275" t="str">
        <f t="shared" si="48"/>
        <v/>
      </c>
    </row>
    <row r="34" s="156" customFormat="1" ht="22.15" hidden="1" customHeight="1" spans="1:58">
      <c r="A34" s="182">
        <f>设备类勘察表!A32</f>
        <v>28</v>
      </c>
      <c r="B34" s="182" t="str">
        <f>设备类勘察表!B32</f>
        <v>切割机</v>
      </c>
      <c r="C34" s="182">
        <f>设备类勘察表!C32</f>
        <v>0</v>
      </c>
      <c r="D34" s="182">
        <f>设备类勘察表!D32</f>
        <v>0</v>
      </c>
      <c r="E34" s="182" t="str">
        <f>设备类勘察表!G32</f>
        <v>台</v>
      </c>
      <c r="F34" s="182">
        <f>设备类勘察表!F32</f>
        <v>1</v>
      </c>
      <c r="G34" s="183" t="s">
        <v>343</v>
      </c>
      <c r="H34" s="184">
        <f t="shared" si="49"/>
        <v>800</v>
      </c>
      <c r="I34" s="199">
        <f t="shared" si="54"/>
        <v>0</v>
      </c>
      <c r="J34" s="199">
        <f t="shared" si="55"/>
        <v>0</v>
      </c>
      <c r="K34" s="200">
        <f t="shared" si="57"/>
        <v>0</v>
      </c>
      <c r="L34" s="182">
        <f t="shared" si="58"/>
        <v>1</v>
      </c>
      <c r="M34" s="182">
        <f t="shared" si="59"/>
        <v>1</v>
      </c>
      <c r="N34" s="182">
        <f t="shared" si="60"/>
        <v>2</v>
      </c>
      <c r="O34" s="182">
        <f t="shared" si="61"/>
        <v>0</v>
      </c>
      <c r="P34" s="182">
        <f t="shared" si="62"/>
        <v>4</v>
      </c>
      <c r="Q34" s="223">
        <f t="shared" si="63"/>
        <v>32</v>
      </c>
      <c r="R34" s="224" t="str">
        <f t="shared" si="64"/>
        <v/>
      </c>
      <c r="S34" s="224"/>
      <c r="T34" s="202"/>
      <c r="U34" s="225">
        <v>800</v>
      </c>
      <c r="V34" s="225"/>
      <c r="W34" s="227"/>
      <c r="X34" s="227"/>
      <c r="Y34" s="227"/>
      <c r="Z34" s="227"/>
      <c r="AA34" s="227"/>
      <c r="AB34" s="239">
        <f t="shared" si="50"/>
        <v>800</v>
      </c>
      <c r="AC34" s="240" t="str">
        <f>设备类勘察表!E32</f>
        <v>2004年6月</v>
      </c>
      <c r="AD34" s="241"/>
      <c r="AE34" s="242">
        <f>IF(AD34=0,0,IF(G34="否",ROUND((设定!$C$4-机器设备及辅助设施评估明细表!AC34)/365,2),0))</f>
        <v>0</v>
      </c>
      <c r="AF34" s="242">
        <f t="shared" si="16"/>
        <v>0</v>
      </c>
      <c r="AG34" s="249">
        <f t="shared" si="17"/>
        <v>0</v>
      </c>
      <c r="AH34" s="249"/>
      <c r="AI34" s="250" t="str">
        <f t="shared" si="18"/>
        <v/>
      </c>
      <c r="AJ34" s="251"/>
      <c r="AK34" s="242"/>
      <c r="AL34" s="251"/>
      <c r="AM34" s="242"/>
      <c r="AN34" s="251"/>
      <c r="AO34" s="242"/>
      <c r="AP34" s="242"/>
      <c r="AQ34" s="250" t="str">
        <f t="shared" si="20"/>
        <v/>
      </c>
      <c r="AR34" s="251"/>
      <c r="AS34" s="251"/>
      <c r="AT34" s="249">
        <f t="shared" si="21"/>
        <v>0</v>
      </c>
      <c r="AU34" s="239">
        <f t="shared" si="52"/>
        <v>0</v>
      </c>
      <c r="AV34" s="227"/>
      <c r="AW34" s="272">
        <f>IF(AV34="",0,VLOOKUP(AV34,残值率参考表!$C$4:$D$23,2,0))</f>
        <v>0</v>
      </c>
      <c r="AX34" s="225"/>
      <c r="AY34" s="242">
        <f t="shared" si="56"/>
        <v>1</v>
      </c>
      <c r="AZ34" s="241">
        <v>1</v>
      </c>
      <c r="BA34" s="241">
        <v>2</v>
      </c>
      <c r="BB34" s="241"/>
      <c r="BC34" s="242">
        <f t="shared" si="53"/>
        <v>4</v>
      </c>
      <c r="BD34" s="251"/>
      <c r="BE34" s="239">
        <f t="shared" si="51"/>
        <v>32</v>
      </c>
      <c r="BF34" s="275" t="str">
        <f t="shared" si="48"/>
        <v/>
      </c>
    </row>
    <row r="35" s="156" customFormat="1" ht="22.15" hidden="1" customHeight="1" spans="1:58">
      <c r="A35" s="182">
        <f>设备类勘察表!A33</f>
        <v>29</v>
      </c>
      <c r="B35" s="182" t="str">
        <f>设备类勘察表!B33</f>
        <v>手动叉车</v>
      </c>
      <c r="C35" s="182">
        <f>设备类勘察表!C33</f>
        <v>0</v>
      </c>
      <c r="D35" s="182">
        <f>设备类勘察表!D33</f>
        <v>0</v>
      </c>
      <c r="E35" s="182" t="str">
        <f>设备类勘察表!G33</f>
        <v>台</v>
      </c>
      <c r="F35" s="182">
        <f>设备类勘察表!F33</f>
        <v>1</v>
      </c>
      <c r="G35" s="183" t="s">
        <v>343</v>
      </c>
      <c r="H35" s="184">
        <f t="shared" si="49"/>
        <v>1200</v>
      </c>
      <c r="I35" s="199">
        <f t="shared" si="54"/>
        <v>0</v>
      </c>
      <c r="J35" s="199">
        <f t="shared" si="55"/>
        <v>0</v>
      </c>
      <c r="K35" s="200">
        <f t="shared" si="57"/>
        <v>0</v>
      </c>
      <c r="L35" s="182">
        <f t="shared" si="58"/>
        <v>1</v>
      </c>
      <c r="M35" s="182">
        <f t="shared" si="59"/>
        <v>1</v>
      </c>
      <c r="N35" s="182">
        <f t="shared" si="60"/>
        <v>2</v>
      </c>
      <c r="O35" s="182">
        <f t="shared" si="61"/>
        <v>0</v>
      </c>
      <c r="P35" s="182">
        <f t="shared" si="62"/>
        <v>4</v>
      </c>
      <c r="Q35" s="223">
        <f t="shared" si="63"/>
        <v>48</v>
      </c>
      <c r="R35" s="224" t="str">
        <f t="shared" si="64"/>
        <v/>
      </c>
      <c r="S35" s="224"/>
      <c r="T35" s="202"/>
      <c r="U35" s="225">
        <v>1200</v>
      </c>
      <c r="V35" s="225"/>
      <c r="W35" s="227"/>
      <c r="X35" s="227"/>
      <c r="Y35" s="227"/>
      <c r="Z35" s="227"/>
      <c r="AA35" s="227"/>
      <c r="AB35" s="239">
        <f t="shared" si="50"/>
        <v>1200</v>
      </c>
      <c r="AC35" s="240" t="str">
        <f>设备类勘察表!E33</f>
        <v>2004年6月</v>
      </c>
      <c r="AD35" s="241"/>
      <c r="AE35" s="242">
        <f>IF(AD35=0,0,IF(G35="否",ROUND((设定!$C$4-机器设备及辅助设施评估明细表!AC35)/365,2),0))</f>
        <v>0</v>
      </c>
      <c r="AF35" s="242">
        <f t="shared" si="16"/>
        <v>0</v>
      </c>
      <c r="AG35" s="249">
        <f t="shared" si="17"/>
        <v>0</v>
      </c>
      <c r="AH35" s="249"/>
      <c r="AI35" s="250" t="str">
        <f t="shared" si="18"/>
        <v/>
      </c>
      <c r="AJ35" s="251"/>
      <c r="AK35" s="242">
        <f>IF(AH35="年限法",0,IF(AJ35=0,0,VLOOKUP(AJ35,成新率说明!$H$3:$I$6,2,0)))</f>
        <v>0</v>
      </c>
      <c r="AL35" s="251"/>
      <c r="AM35" s="242">
        <f>IF(AL35="",0,VLOOKUP(AL35,成新率说明!$H$7:$I$11,2,0))</f>
        <v>0</v>
      </c>
      <c r="AN35" s="251"/>
      <c r="AO35" s="242">
        <f>IF(AH35="年限法",0,IF(AN35=0,0,VLOOKUP(AN35,成新率说明!$H$12:$I$15,2,0)))</f>
        <v>0</v>
      </c>
      <c r="AP35" s="242">
        <f t="shared" ref="AP35:AP39" si="65">AK35+AM35+AO35</f>
        <v>0</v>
      </c>
      <c r="AQ35" s="250" t="str">
        <f t="shared" si="20"/>
        <v/>
      </c>
      <c r="AR35" s="251"/>
      <c r="AS35" s="251"/>
      <c r="AT35" s="249">
        <f t="shared" si="21"/>
        <v>0</v>
      </c>
      <c r="AU35" s="239">
        <f t="shared" si="52"/>
        <v>0</v>
      </c>
      <c r="AV35" s="227"/>
      <c r="AW35" s="272">
        <f>IF(AV35="",0,VLOOKUP(AV35,残值率参考表!$C$4:$D$23,2,0))</f>
        <v>0</v>
      </c>
      <c r="AX35" s="225"/>
      <c r="AY35" s="242">
        <f t="shared" si="56"/>
        <v>1</v>
      </c>
      <c r="AZ35" s="241">
        <v>1</v>
      </c>
      <c r="BA35" s="241">
        <v>2</v>
      </c>
      <c r="BB35" s="241"/>
      <c r="BC35" s="242">
        <f t="shared" si="53"/>
        <v>4</v>
      </c>
      <c r="BD35" s="251"/>
      <c r="BE35" s="239">
        <f t="shared" si="51"/>
        <v>48</v>
      </c>
      <c r="BF35" s="275" t="str">
        <f t="shared" ref="BF35:BF63" si="66">IF(AW35=0,IF(AX35=0,"",AX35&amp;"元/"&amp;E35),("扣除"&amp;AW35*100&amp;"%残值"))</f>
        <v/>
      </c>
    </row>
    <row r="36" s="156" customFormat="1" ht="22.15" hidden="1" customHeight="1" spans="1:58">
      <c r="A36" s="182">
        <f>设备类勘察表!A34</f>
        <v>30</v>
      </c>
      <c r="B36" s="182" t="str">
        <f>设备类勘察表!B34</f>
        <v>磨锯片机</v>
      </c>
      <c r="C36" s="182">
        <f>设备类勘察表!C34</f>
        <v>0</v>
      </c>
      <c r="D36" s="182">
        <f>设备类勘察表!D34</f>
        <v>0</v>
      </c>
      <c r="E36" s="182" t="str">
        <f>设备类勘察表!G34</f>
        <v>台</v>
      </c>
      <c r="F36" s="182">
        <f>设备类勘察表!F34</f>
        <v>3</v>
      </c>
      <c r="G36" s="183" t="s">
        <v>343</v>
      </c>
      <c r="H36" s="184">
        <f t="shared" si="49"/>
        <v>10500</v>
      </c>
      <c r="I36" s="199">
        <f t="shared" si="54"/>
        <v>0</v>
      </c>
      <c r="J36" s="199">
        <f t="shared" si="55"/>
        <v>0</v>
      </c>
      <c r="K36" s="200">
        <f t="shared" si="57"/>
        <v>0</v>
      </c>
      <c r="L36" s="182">
        <f t="shared" si="58"/>
        <v>1</v>
      </c>
      <c r="M36" s="182">
        <f t="shared" si="59"/>
        <v>1</v>
      </c>
      <c r="N36" s="182">
        <f t="shared" si="60"/>
        <v>2</v>
      </c>
      <c r="O36" s="182">
        <f t="shared" si="61"/>
        <v>0</v>
      </c>
      <c r="P36" s="182">
        <f t="shared" si="62"/>
        <v>4</v>
      </c>
      <c r="Q36" s="223">
        <f t="shared" si="63"/>
        <v>420</v>
      </c>
      <c r="R36" s="224" t="str">
        <f t="shared" si="64"/>
        <v/>
      </c>
      <c r="S36" s="224"/>
      <c r="T36" s="202"/>
      <c r="U36" s="225">
        <v>3500</v>
      </c>
      <c r="V36" s="229" t="str">
        <f>_xlfn.DISPIMG("ID_D8DB94AB3784405BAD3BA87266AA5405",1)</f>
        <v>=DISPIMG("ID_D8DB94AB3784405BAD3BA87266AA5405",1)</v>
      </c>
      <c r="W36" s="227"/>
      <c r="X36" s="227"/>
      <c r="Y36" s="227"/>
      <c r="Z36" s="227"/>
      <c r="AA36" s="227"/>
      <c r="AB36" s="239">
        <f t="shared" si="50"/>
        <v>10500</v>
      </c>
      <c r="AC36" s="240" t="str">
        <f>设备类勘察表!E34</f>
        <v>2004年6月</v>
      </c>
      <c r="AD36" s="241"/>
      <c r="AE36" s="242">
        <f>IF(AD36=0,0,IF(G36="否",ROUND((设定!$C$4-机器设备及辅助设施评估明细表!AC36)/365,2),0))</f>
        <v>0</v>
      </c>
      <c r="AF36" s="242">
        <f t="shared" si="16"/>
        <v>0</v>
      </c>
      <c r="AG36" s="249">
        <f t="shared" si="17"/>
        <v>0</v>
      </c>
      <c r="AH36" s="249"/>
      <c r="AI36" s="250" t="str">
        <f t="shared" si="18"/>
        <v/>
      </c>
      <c r="AJ36" s="251"/>
      <c r="AK36" s="242">
        <f>IF(AH36="年限法",0,IF(AJ36=0,0,VLOOKUP(AJ36,成新率说明!$H$3:$I$6,2,0)))</f>
        <v>0</v>
      </c>
      <c r="AL36" s="251"/>
      <c r="AM36" s="242">
        <f>IF(AL36="",0,VLOOKUP(AL36,成新率说明!$H$7:$I$11,2,0))</f>
        <v>0</v>
      </c>
      <c r="AN36" s="251"/>
      <c r="AO36" s="242">
        <f>IF(AH36="年限法",0,IF(AN36=0,0,VLOOKUP(AN36,成新率说明!$H$12:$I$15,2,0)))</f>
        <v>0</v>
      </c>
      <c r="AP36" s="242">
        <f t="shared" si="65"/>
        <v>0</v>
      </c>
      <c r="AQ36" s="250" t="str">
        <f t="shared" si="20"/>
        <v/>
      </c>
      <c r="AR36" s="251"/>
      <c r="AS36" s="251"/>
      <c r="AT36" s="249">
        <f t="shared" si="21"/>
        <v>0</v>
      </c>
      <c r="AU36" s="239">
        <f t="shared" si="52"/>
        <v>0</v>
      </c>
      <c r="AV36" s="227"/>
      <c r="AW36" s="272">
        <f>IF(AV36="",0,VLOOKUP(AV36,残值率参考表!$C$4:$D$23,2,0))</f>
        <v>0</v>
      </c>
      <c r="AX36" s="225"/>
      <c r="AY36" s="242">
        <f t="shared" si="56"/>
        <v>1</v>
      </c>
      <c r="AZ36" s="241">
        <v>1</v>
      </c>
      <c r="BA36" s="241">
        <v>2</v>
      </c>
      <c r="BB36" s="241"/>
      <c r="BC36" s="242">
        <f t="shared" si="53"/>
        <v>4</v>
      </c>
      <c r="BD36" s="251"/>
      <c r="BE36" s="239">
        <f t="shared" si="51"/>
        <v>420</v>
      </c>
      <c r="BF36" s="275" t="str">
        <f t="shared" si="66"/>
        <v/>
      </c>
    </row>
    <row r="37" s="156" customFormat="1" ht="22.15" hidden="1" customHeight="1" spans="1:58">
      <c r="A37" s="182">
        <f>设备类勘察表!A35</f>
        <v>31</v>
      </c>
      <c r="B37" s="182" t="str">
        <f>设备类勘察表!B35</f>
        <v>氩弧焊接机</v>
      </c>
      <c r="C37" s="182">
        <f>设备类勘察表!C35</f>
        <v>0</v>
      </c>
      <c r="D37" s="182">
        <f>设备类勘察表!D35</f>
        <v>0</v>
      </c>
      <c r="E37" s="182" t="str">
        <f>设备类勘察表!G35</f>
        <v>台</v>
      </c>
      <c r="F37" s="182">
        <f>设备类勘察表!F35</f>
        <v>2</v>
      </c>
      <c r="G37" s="183" t="s">
        <v>343</v>
      </c>
      <c r="H37" s="184">
        <f t="shared" si="49"/>
        <v>5160</v>
      </c>
      <c r="I37" s="199">
        <f t="shared" si="54"/>
        <v>0</v>
      </c>
      <c r="J37" s="199">
        <f t="shared" si="55"/>
        <v>0</v>
      </c>
      <c r="K37" s="200">
        <f t="shared" si="57"/>
        <v>0</v>
      </c>
      <c r="L37" s="182">
        <f t="shared" si="58"/>
        <v>1</v>
      </c>
      <c r="M37" s="182">
        <f t="shared" si="59"/>
        <v>1</v>
      </c>
      <c r="N37" s="182">
        <f t="shared" si="60"/>
        <v>2</v>
      </c>
      <c r="O37" s="182">
        <f t="shared" si="61"/>
        <v>0</v>
      </c>
      <c r="P37" s="182">
        <f t="shared" si="62"/>
        <v>4</v>
      </c>
      <c r="Q37" s="223">
        <f t="shared" si="63"/>
        <v>206</v>
      </c>
      <c r="R37" s="224" t="str">
        <f t="shared" si="64"/>
        <v/>
      </c>
      <c r="S37" s="224"/>
      <c r="T37" s="202"/>
      <c r="U37" s="225">
        <v>2580</v>
      </c>
      <c r="V37" s="229" t="str">
        <f>_xlfn.DISPIMG("ID_39DAEC5B7BA145DF93D9883213CC1F79",1)</f>
        <v>=DISPIMG("ID_39DAEC5B7BA145DF93D9883213CC1F79",1)</v>
      </c>
      <c r="W37" s="227"/>
      <c r="X37" s="227"/>
      <c r="Y37" s="227"/>
      <c r="Z37" s="227"/>
      <c r="AA37" s="227"/>
      <c r="AB37" s="239">
        <f t="shared" si="50"/>
        <v>5160</v>
      </c>
      <c r="AC37" s="240" t="str">
        <f>设备类勘察表!E35</f>
        <v>2004年6月</v>
      </c>
      <c r="AD37" s="241"/>
      <c r="AE37" s="242">
        <f>IF(AD37=0,0,IF(G37="否",ROUND((设定!$C$4-机器设备及辅助设施评估明细表!AC37)/365,2),0))</f>
        <v>0</v>
      </c>
      <c r="AF37" s="242">
        <f t="shared" si="16"/>
        <v>0</v>
      </c>
      <c r="AG37" s="249">
        <f t="shared" si="17"/>
        <v>0</v>
      </c>
      <c r="AH37" s="249"/>
      <c r="AI37" s="250" t="str">
        <f t="shared" si="18"/>
        <v/>
      </c>
      <c r="AJ37" s="251"/>
      <c r="AK37" s="242">
        <f>IF(AH37="年限法",0,IF(AJ37=0,0,VLOOKUP(AJ37,成新率说明!$H$3:$I$6,2,0)))</f>
        <v>0</v>
      </c>
      <c r="AL37" s="251"/>
      <c r="AM37" s="242">
        <f>IF(AL37="",0,VLOOKUP(AL37,成新率说明!$H$7:$I$11,2,0))</f>
        <v>0</v>
      </c>
      <c r="AN37" s="251"/>
      <c r="AO37" s="242">
        <f>IF(AH37="年限法",0,IF(AN37=0,0,VLOOKUP(AN37,成新率说明!$H$12:$I$15,2,0)))</f>
        <v>0</v>
      </c>
      <c r="AP37" s="242">
        <f t="shared" si="65"/>
        <v>0</v>
      </c>
      <c r="AQ37" s="250" t="str">
        <f t="shared" si="20"/>
        <v/>
      </c>
      <c r="AR37" s="251"/>
      <c r="AS37" s="251"/>
      <c r="AT37" s="249">
        <f t="shared" si="21"/>
        <v>0</v>
      </c>
      <c r="AU37" s="239">
        <f t="shared" si="52"/>
        <v>0</v>
      </c>
      <c r="AV37" s="227"/>
      <c r="AW37" s="272">
        <f>IF(AV37="",0,VLOOKUP(AV37,残值率参考表!$C$4:$D$23,2,0))</f>
        <v>0</v>
      </c>
      <c r="AX37" s="225"/>
      <c r="AY37" s="242">
        <f t="shared" si="56"/>
        <v>1</v>
      </c>
      <c r="AZ37" s="241">
        <v>1</v>
      </c>
      <c r="BA37" s="241">
        <v>2</v>
      </c>
      <c r="BB37" s="241"/>
      <c r="BC37" s="242">
        <f t="shared" si="53"/>
        <v>4</v>
      </c>
      <c r="BD37" s="251"/>
      <c r="BE37" s="239">
        <f t="shared" si="51"/>
        <v>206</v>
      </c>
      <c r="BF37" s="275" t="str">
        <f t="shared" si="66"/>
        <v/>
      </c>
    </row>
    <row r="38" s="156" customFormat="1" ht="22.15" hidden="1" customHeight="1" spans="1:58">
      <c r="A38" s="182">
        <f>设备类勘察表!A36</f>
        <v>32</v>
      </c>
      <c r="B38" s="182" t="str">
        <f>设备类勘察表!B36</f>
        <v>平头机</v>
      </c>
      <c r="C38" s="182">
        <f>设备类勘察表!C36</f>
        <v>0</v>
      </c>
      <c r="D38" s="182">
        <f>设备类勘察表!D36</f>
        <v>0</v>
      </c>
      <c r="E38" s="182" t="str">
        <f>设备类勘察表!G36</f>
        <v>台</v>
      </c>
      <c r="F38" s="182">
        <f>设备类勘察表!F36</f>
        <v>1</v>
      </c>
      <c r="G38" s="183" t="s">
        <v>343</v>
      </c>
      <c r="H38" s="184">
        <f t="shared" si="49"/>
        <v>3300</v>
      </c>
      <c r="I38" s="199">
        <f t="shared" si="54"/>
        <v>0</v>
      </c>
      <c r="J38" s="199">
        <f t="shared" si="55"/>
        <v>0</v>
      </c>
      <c r="K38" s="200">
        <f t="shared" si="57"/>
        <v>0</v>
      </c>
      <c r="L38" s="182">
        <f t="shared" si="58"/>
        <v>1</v>
      </c>
      <c r="M38" s="182">
        <f t="shared" si="59"/>
        <v>1</v>
      </c>
      <c r="N38" s="182">
        <f t="shared" si="60"/>
        <v>2</v>
      </c>
      <c r="O38" s="182">
        <f t="shared" si="61"/>
        <v>0</v>
      </c>
      <c r="P38" s="182">
        <f t="shared" si="62"/>
        <v>4</v>
      </c>
      <c r="Q38" s="223">
        <f t="shared" si="63"/>
        <v>132</v>
      </c>
      <c r="R38" s="224" t="str">
        <f t="shared" si="64"/>
        <v/>
      </c>
      <c r="S38" s="230"/>
      <c r="T38" s="202"/>
      <c r="U38" s="225">
        <v>3300</v>
      </c>
      <c r="V38" s="226" t="s">
        <v>394</v>
      </c>
      <c r="W38" s="227"/>
      <c r="X38" s="227"/>
      <c r="Y38" s="227"/>
      <c r="Z38" s="227"/>
      <c r="AA38" s="227"/>
      <c r="AB38" s="239">
        <f t="shared" si="50"/>
        <v>3300</v>
      </c>
      <c r="AC38" s="240" t="str">
        <f>设备类勘察表!E36</f>
        <v>2004年6月</v>
      </c>
      <c r="AD38" s="241"/>
      <c r="AE38" s="242">
        <f>IF(AD38=0,0,IF(G38="否",ROUND((设定!$C$4-机器设备及辅助设施评估明细表!AC38)/365,2),0))</f>
        <v>0</v>
      </c>
      <c r="AF38" s="242">
        <f t="shared" si="16"/>
        <v>0</v>
      </c>
      <c r="AG38" s="249">
        <f t="shared" si="17"/>
        <v>0</v>
      </c>
      <c r="AH38" s="249"/>
      <c r="AI38" s="250" t="str">
        <f t="shared" si="18"/>
        <v/>
      </c>
      <c r="AJ38" s="251"/>
      <c r="AK38" s="242">
        <f>IF(AH38="年限法",0,IF(AJ38=0,0,VLOOKUP(AJ38,成新率说明!$H$3:$I$6,2,0)))</f>
        <v>0</v>
      </c>
      <c r="AL38" s="251"/>
      <c r="AM38" s="242">
        <f>IF(AL38="",0,VLOOKUP(AL38,成新率说明!$H$7:$I$11,2,0))</f>
        <v>0</v>
      </c>
      <c r="AN38" s="251"/>
      <c r="AO38" s="242">
        <f>IF(AH38="年限法",0,IF(AN38=0,0,VLOOKUP(AN38,成新率说明!$H$12:$I$15,2,0)))</f>
        <v>0</v>
      </c>
      <c r="AP38" s="242">
        <f t="shared" si="65"/>
        <v>0</v>
      </c>
      <c r="AQ38" s="250" t="str">
        <f t="shared" si="20"/>
        <v/>
      </c>
      <c r="AR38" s="251"/>
      <c r="AS38" s="251"/>
      <c r="AT38" s="249">
        <f t="shared" si="21"/>
        <v>0</v>
      </c>
      <c r="AU38" s="239">
        <f t="shared" ref="AU35:AU45" si="67">ROUND(AB38*(AT38-AW38),0)</f>
        <v>0</v>
      </c>
      <c r="AV38" s="227"/>
      <c r="AW38" s="272">
        <f>IF(AV38="",0,VLOOKUP(AV38,残值率参考表!$C$4:$D$23,2,0))</f>
        <v>0</v>
      </c>
      <c r="AX38" s="225"/>
      <c r="AY38" s="242">
        <f t="shared" si="56"/>
        <v>1</v>
      </c>
      <c r="AZ38" s="241">
        <v>1</v>
      </c>
      <c r="BA38" s="241">
        <v>2</v>
      </c>
      <c r="BB38" s="241"/>
      <c r="BC38" s="242">
        <f t="shared" si="53"/>
        <v>4</v>
      </c>
      <c r="BD38" s="251"/>
      <c r="BE38" s="239">
        <f t="shared" si="51"/>
        <v>132</v>
      </c>
      <c r="BF38" s="275" t="str">
        <f t="shared" si="66"/>
        <v/>
      </c>
    </row>
    <row r="39" s="156" customFormat="1" ht="22.15" customHeight="1" spans="1:58">
      <c r="A39" s="182">
        <f>设备类勘察表!A37</f>
        <v>33</v>
      </c>
      <c r="B39" s="182" t="str">
        <f>设备类勘察表!B37</f>
        <v>A电缆线</v>
      </c>
      <c r="C39" s="182" t="str">
        <f>设备类勘察表!C37</f>
        <v>3*95+50</v>
      </c>
      <c r="D39" s="182">
        <f>设备类勘察表!D37</f>
        <v>0</v>
      </c>
      <c r="E39" s="182" t="str">
        <f>设备类勘察表!G37</f>
        <v>米</v>
      </c>
      <c r="F39" s="182">
        <f>设备类勘察表!F37</f>
        <v>120</v>
      </c>
      <c r="G39" s="183" t="s">
        <v>230</v>
      </c>
      <c r="H39" s="184">
        <f t="shared" si="49"/>
        <v>34560</v>
      </c>
      <c r="I39" s="199">
        <f t="shared" si="54"/>
        <v>0.6</v>
      </c>
      <c r="J39" s="199">
        <f t="shared" si="55"/>
        <v>0.15</v>
      </c>
      <c r="K39" s="200">
        <f t="shared" ref="K39:K72" si="68">AU39</f>
        <v>15552</v>
      </c>
      <c r="L39" s="182">
        <f t="shared" ref="L39:L72" si="69">AY39</f>
        <v>0</v>
      </c>
      <c r="M39" s="182">
        <f t="shared" ref="M39:M72" si="70">AZ39</f>
        <v>0</v>
      </c>
      <c r="N39" s="182">
        <f t="shared" ref="N39:N72" si="71">BA39</f>
        <v>0</v>
      </c>
      <c r="O39" s="182">
        <f t="shared" ref="O39:O72" si="72">BB39</f>
        <v>0</v>
      </c>
      <c r="P39" s="182">
        <f t="shared" ref="P39:P72" si="73">BC39</f>
        <v>0</v>
      </c>
      <c r="Q39" s="223">
        <f t="shared" ref="Q39:Q72" si="74">BE39</f>
        <v>15552</v>
      </c>
      <c r="R39" s="224" t="str">
        <f t="shared" ref="R39:R72" si="75">BF39</f>
        <v>扣除15%残值</v>
      </c>
      <c r="S39" s="230"/>
      <c r="T39" s="202"/>
      <c r="U39" s="225">
        <v>288</v>
      </c>
      <c r="V39" s="225"/>
      <c r="W39" s="227"/>
      <c r="X39" s="227"/>
      <c r="Y39" s="227"/>
      <c r="Z39" s="227"/>
      <c r="AA39" s="227"/>
      <c r="AB39" s="239">
        <f t="shared" si="50"/>
        <v>34560</v>
      </c>
      <c r="AC39" s="240" t="str">
        <f>设备类勘察表!E37</f>
        <v>2006年1月</v>
      </c>
      <c r="AD39" s="241"/>
      <c r="AE39" s="242">
        <f>IF(AD39=0,0,IF(G39="否",ROUND((设定!$C$4-机器设备及辅助设施评估明细表!AC39)/365,2),0))</f>
        <v>0</v>
      </c>
      <c r="AF39" s="242">
        <f t="shared" si="16"/>
        <v>0</v>
      </c>
      <c r="AG39" s="249">
        <f t="shared" si="17"/>
        <v>0</v>
      </c>
      <c r="AH39" s="249" t="s">
        <v>390</v>
      </c>
      <c r="AI39" s="250"/>
      <c r="AJ39" s="251" t="s">
        <v>275</v>
      </c>
      <c r="AK39" s="242">
        <f>IF(AH39="年限法",0,IF(AJ39=0,0,VLOOKUP(AJ39,成新率说明!$H$3:$I$6,2,0)))</f>
        <v>12</v>
      </c>
      <c r="AL39" s="251" t="s">
        <v>275</v>
      </c>
      <c r="AM39" s="242">
        <f>IF(AL39="",0,VLOOKUP(AL39,成新率说明!$H$7:$I$11,2,0))</f>
        <v>30</v>
      </c>
      <c r="AN39" s="251" t="s">
        <v>275</v>
      </c>
      <c r="AO39" s="242">
        <f>IF(AH39="年限法",0,IF(AN39=0,0,VLOOKUP(AN39,成新率说明!$H$12:$I$15,2,0)))</f>
        <v>18</v>
      </c>
      <c r="AP39" s="264">
        <f t="shared" si="65"/>
        <v>60</v>
      </c>
      <c r="AQ39" s="250">
        <f t="shared" si="20"/>
        <v>0.6</v>
      </c>
      <c r="AR39" s="251"/>
      <c r="AS39" s="251"/>
      <c r="AT39" s="265">
        <f>IF(AH39="年限法",AG39/100,IF(AH39="勘察法",ROUND(AP39/100,2),ROUND(AG39*AI39/100+AP39*AQ39/100,2)))</f>
        <v>0.6</v>
      </c>
      <c r="AU39" s="239">
        <f t="shared" si="67"/>
        <v>15552</v>
      </c>
      <c r="AV39" s="227" t="s">
        <v>395</v>
      </c>
      <c r="AW39" s="272">
        <f>IF(AV39="",0,VLOOKUP(AV39,残值率参考表!$C$4:$D$23,2,0))</f>
        <v>0.15</v>
      </c>
      <c r="AX39" s="225"/>
      <c r="AY39" s="242">
        <f t="shared" si="56"/>
        <v>0</v>
      </c>
      <c r="AZ39" s="241"/>
      <c r="BA39" s="241"/>
      <c r="BB39" s="241"/>
      <c r="BC39" s="242">
        <f t="shared" si="53"/>
        <v>0</v>
      </c>
      <c r="BD39" s="251"/>
      <c r="BE39" s="239">
        <f t="shared" ref="BE39:BE45" si="76">IF(AX39=0,IF(G39="可",ROUND(AB39*BC39/100,0),ROUND(AB39*(AT39-AW39),0)),ROUND(AX39*F39,0))</f>
        <v>15552</v>
      </c>
      <c r="BF39" s="275" t="str">
        <f t="shared" si="66"/>
        <v>扣除15%残值</v>
      </c>
    </row>
    <row r="40" s="156" customFormat="1" ht="22.15" customHeight="1" spans="1:58">
      <c r="A40" s="182">
        <f>设备类勘察表!A38</f>
        <v>34</v>
      </c>
      <c r="B40" s="182" t="str">
        <f>设备类勘察表!B38</f>
        <v>B电缆线-1</v>
      </c>
      <c r="C40" s="182" t="str">
        <f>设备类勘察表!C38</f>
        <v>3*185+95</v>
      </c>
      <c r="D40" s="182">
        <f>设备类勘察表!D38</f>
        <v>0</v>
      </c>
      <c r="E40" s="182" t="str">
        <f>设备类勘察表!G38</f>
        <v>米</v>
      </c>
      <c r="F40" s="182">
        <f>设备类勘察表!F38</f>
        <v>100</v>
      </c>
      <c r="G40" s="183" t="s">
        <v>230</v>
      </c>
      <c r="H40" s="184">
        <f t="shared" si="49"/>
        <v>55400</v>
      </c>
      <c r="I40" s="199">
        <f t="shared" si="54"/>
        <v>0.6</v>
      </c>
      <c r="J40" s="199">
        <f t="shared" si="55"/>
        <v>0.15</v>
      </c>
      <c r="K40" s="200">
        <f t="shared" si="68"/>
        <v>24930</v>
      </c>
      <c r="L40" s="182">
        <f t="shared" si="69"/>
        <v>0</v>
      </c>
      <c r="M40" s="182">
        <f t="shared" si="70"/>
        <v>0</v>
      </c>
      <c r="N40" s="182">
        <f t="shared" si="71"/>
        <v>0</v>
      </c>
      <c r="O40" s="182">
        <f t="shared" si="72"/>
        <v>0</v>
      </c>
      <c r="P40" s="182">
        <f t="shared" si="73"/>
        <v>0</v>
      </c>
      <c r="Q40" s="223">
        <f t="shared" si="74"/>
        <v>24930</v>
      </c>
      <c r="R40" s="224" t="str">
        <f t="shared" si="75"/>
        <v>扣除15%残值</v>
      </c>
      <c r="S40" s="224"/>
      <c r="T40" s="202"/>
      <c r="U40" s="225">
        <v>554</v>
      </c>
      <c r="V40" s="225"/>
      <c r="W40" s="227"/>
      <c r="X40" s="227"/>
      <c r="Y40" s="227"/>
      <c r="Z40" s="227"/>
      <c r="AA40" s="227"/>
      <c r="AB40" s="239">
        <f t="shared" ref="AB40:AB63" si="77">ROUND((U40*(1+W40+X40+Y40)*(1+Z40)*(1+AA40))*F40,0)</f>
        <v>55400</v>
      </c>
      <c r="AC40" s="240" t="str">
        <f>设备类勘察表!E38</f>
        <v>2006年1月</v>
      </c>
      <c r="AD40" s="241"/>
      <c r="AE40" s="242">
        <f>IF(AD40=0,0,IF(G40="否",ROUND((设定!$C$4-机器设备及辅助设施评估明细表!AC40)/365,2),0))</f>
        <v>0</v>
      </c>
      <c r="AF40" s="242">
        <f t="shared" si="16"/>
        <v>0</v>
      </c>
      <c r="AG40" s="249">
        <f t="shared" si="17"/>
        <v>0</v>
      </c>
      <c r="AH40" s="249" t="s">
        <v>390</v>
      </c>
      <c r="AI40" s="250"/>
      <c r="AJ40" s="251" t="s">
        <v>275</v>
      </c>
      <c r="AK40" s="242">
        <f>IF(AH40="年限法",0,IF(AJ40=0,0,VLOOKUP(AJ40,成新率说明!$H$3:$I$6,2,0)))</f>
        <v>12</v>
      </c>
      <c r="AL40" s="251" t="s">
        <v>275</v>
      </c>
      <c r="AM40" s="242">
        <f>IF(AL40="",0,VLOOKUP(AL40,成新率说明!$H$7:$I$11,2,0))</f>
        <v>30</v>
      </c>
      <c r="AN40" s="251" t="s">
        <v>275</v>
      </c>
      <c r="AO40" s="242">
        <f>IF(AH40="年限法",0,IF(AN40=0,0,VLOOKUP(AN40,成新率说明!$H$12:$I$15,2,0)))</f>
        <v>18</v>
      </c>
      <c r="AP40" s="264">
        <f t="shared" ref="AP40:AP65" si="78">AK40+AM40+AO40</f>
        <v>60</v>
      </c>
      <c r="AQ40" s="250">
        <f t="shared" ref="AQ40:AQ65" si="79">IF(G40="否",IF($AM$3="是",60%,""),"")</f>
        <v>0.6</v>
      </c>
      <c r="AR40" s="251"/>
      <c r="AS40" s="251"/>
      <c r="AT40" s="265">
        <f>IF(AH40="年限法",AG40/100,IF(AH40="勘察法",ROUND(AP40/100,2),ROUND(AG40*AI40/100+AP40*AQ40/100,2)))</f>
        <v>0.6</v>
      </c>
      <c r="AU40" s="239">
        <f t="shared" si="67"/>
        <v>24930</v>
      </c>
      <c r="AV40" s="227" t="s">
        <v>395</v>
      </c>
      <c r="AW40" s="272">
        <f>IF(AV40="",0,VLOOKUP(AV40,残值率参考表!$C$4:$D$23,2,0))</f>
        <v>0.15</v>
      </c>
      <c r="AX40" s="225"/>
      <c r="AY40" s="242">
        <f t="shared" si="56"/>
        <v>0</v>
      </c>
      <c r="AZ40" s="241"/>
      <c r="BA40" s="241"/>
      <c r="BB40" s="241"/>
      <c r="BC40" s="242">
        <f t="shared" si="53"/>
        <v>0</v>
      </c>
      <c r="BD40" s="251"/>
      <c r="BE40" s="239">
        <f t="shared" si="76"/>
        <v>24930</v>
      </c>
      <c r="BF40" s="275" t="str">
        <f t="shared" si="66"/>
        <v>扣除15%残值</v>
      </c>
    </row>
    <row r="41" s="156" customFormat="1" ht="22.15" customHeight="1" spans="1:58">
      <c r="A41" s="182">
        <f>设备类勘察表!A39</f>
        <v>35</v>
      </c>
      <c r="B41" s="182" t="str">
        <f>设备类勘察表!B39</f>
        <v>B电缆线-2</v>
      </c>
      <c r="C41" s="182" t="str">
        <f>设备类勘察表!C39</f>
        <v>3*120+70</v>
      </c>
      <c r="D41" s="182">
        <f>设备类勘察表!D39</f>
        <v>0</v>
      </c>
      <c r="E41" s="182" t="str">
        <f>设备类勘察表!G39</f>
        <v>米</v>
      </c>
      <c r="F41" s="182">
        <f>设备类勘察表!F39</f>
        <v>100</v>
      </c>
      <c r="G41" s="183" t="s">
        <v>230</v>
      </c>
      <c r="H41" s="184">
        <f t="shared" si="49"/>
        <v>36400</v>
      </c>
      <c r="I41" s="199">
        <f t="shared" si="54"/>
        <v>0.6</v>
      </c>
      <c r="J41" s="199">
        <f t="shared" si="55"/>
        <v>0.15</v>
      </c>
      <c r="K41" s="200">
        <f t="shared" si="68"/>
        <v>16380</v>
      </c>
      <c r="L41" s="182">
        <f t="shared" si="69"/>
        <v>0</v>
      </c>
      <c r="M41" s="182">
        <f t="shared" si="70"/>
        <v>0</v>
      </c>
      <c r="N41" s="182">
        <f t="shared" si="71"/>
        <v>0</v>
      </c>
      <c r="O41" s="182">
        <f t="shared" si="72"/>
        <v>0</v>
      </c>
      <c r="P41" s="182">
        <f t="shared" si="73"/>
        <v>0</v>
      </c>
      <c r="Q41" s="223">
        <f t="shared" si="74"/>
        <v>16380</v>
      </c>
      <c r="R41" s="224" t="str">
        <f t="shared" si="75"/>
        <v>扣除15%残值</v>
      </c>
      <c r="S41" s="224"/>
      <c r="T41" s="202"/>
      <c r="U41" s="225">
        <v>364</v>
      </c>
      <c r="V41" s="225"/>
      <c r="W41" s="227"/>
      <c r="X41" s="227"/>
      <c r="Y41" s="227"/>
      <c r="Z41" s="227"/>
      <c r="AA41" s="227"/>
      <c r="AB41" s="239">
        <f t="shared" si="77"/>
        <v>36400</v>
      </c>
      <c r="AC41" s="240" t="str">
        <f>设备类勘察表!E39</f>
        <v>2006年1月</v>
      </c>
      <c r="AD41" s="241"/>
      <c r="AE41" s="242">
        <f>IF(AD41=0,0,IF(G41="否",ROUND((设定!$C$4-机器设备及辅助设施评估明细表!AC41)/365,2),0))</f>
        <v>0</v>
      </c>
      <c r="AF41" s="242">
        <f t="shared" si="16"/>
        <v>0</v>
      </c>
      <c r="AG41" s="249">
        <f t="shared" si="17"/>
        <v>0</v>
      </c>
      <c r="AH41" s="249" t="s">
        <v>390</v>
      </c>
      <c r="AI41" s="250"/>
      <c r="AJ41" s="251" t="s">
        <v>275</v>
      </c>
      <c r="AK41" s="242">
        <f>IF(AH41="年限法",0,IF(AJ41=0,0,VLOOKUP(AJ41,成新率说明!$H$3:$I$6,2,0)))</f>
        <v>12</v>
      </c>
      <c r="AL41" s="251" t="s">
        <v>275</v>
      </c>
      <c r="AM41" s="242">
        <f>IF(AL41="",0,VLOOKUP(AL41,成新率说明!$H$7:$I$11,2,0))</f>
        <v>30</v>
      </c>
      <c r="AN41" s="251" t="s">
        <v>275</v>
      </c>
      <c r="AO41" s="242">
        <f>IF(AH41="年限法",0,IF(AN41=0,0,VLOOKUP(AN41,成新率说明!$H$12:$I$15,2,0)))</f>
        <v>18</v>
      </c>
      <c r="AP41" s="264">
        <f t="shared" si="78"/>
        <v>60</v>
      </c>
      <c r="AQ41" s="250">
        <f t="shared" si="79"/>
        <v>0.6</v>
      </c>
      <c r="AR41" s="251"/>
      <c r="AS41" s="251"/>
      <c r="AT41" s="265">
        <f>IF(AH41="年限法",AG41/100,IF(AH41="勘察法",ROUND(AP41/100,2),ROUND(AG41*AI41/100+AP41*AQ41/100,2)))</f>
        <v>0.6</v>
      </c>
      <c r="AU41" s="239">
        <f t="shared" si="67"/>
        <v>16380</v>
      </c>
      <c r="AV41" s="227" t="s">
        <v>395</v>
      </c>
      <c r="AW41" s="272">
        <f>IF(AV41="",0,VLOOKUP(AV41,残值率参考表!$C$4:$D$23,2,0))</f>
        <v>0.15</v>
      </c>
      <c r="AX41" s="225"/>
      <c r="AY41" s="242">
        <f t="shared" si="56"/>
        <v>0</v>
      </c>
      <c r="AZ41" s="241"/>
      <c r="BA41" s="241"/>
      <c r="BB41" s="241"/>
      <c r="BC41" s="242">
        <f t="shared" si="53"/>
        <v>0</v>
      </c>
      <c r="BD41" s="251"/>
      <c r="BE41" s="239">
        <f t="shared" si="76"/>
        <v>16380</v>
      </c>
      <c r="BF41" s="275" t="str">
        <f t="shared" si="66"/>
        <v>扣除15%残值</v>
      </c>
    </row>
    <row r="42" s="156" customFormat="1" ht="22.15" customHeight="1" spans="1:58">
      <c r="A42" s="182">
        <f>设备类勘察表!A40</f>
        <v>36</v>
      </c>
      <c r="B42" s="182" t="str">
        <f>设备类勘察表!B40</f>
        <v>B电缆线-3</v>
      </c>
      <c r="C42" s="182" t="str">
        <f>设备类勘察表!C40</f>
        <v>3*95+50</v>
      </c>
      <c r="D42" s="182">
        <f>设备类勘察表!D40</f>
        <v>0</v>
      </c>
      <c r="E42" s="182" t="str">
        <f>设备类勘察表!G40</f>
        <v>米</v>
      </c>
      <c r="F42" s="182">
        <f>设备类勘察表!F40</f>
        <v>50</v>
      </c>
      <c r="G42" s="183" t="s">
        <v>230</v>
      </c>
      <c r="H42" s="184">
        <f t="shared" si="49"/>
        <v>14400</v>
      </c>
      <c r="I42" s="199">
        <f t="shared" si="54"/>
        <v>0.6</v>
      </c>
      <c r="J42" s="199">
        <f t="shared" si="55"/>
        <v>0.15</v>
      </c>
      <c r="K42" s="200">
        <f t="shared" si="68"/>
        <v>6480</v>
      </c>
      <c r="L42" s="182">
        <f t="shared" si="69"/>
        <v>0</v>
      </c>
      <c r="M42" s="182">
        <f t="shared" si="70"/>
        <v>0</v>
      </c>
      <c r="N42" s="182">
        <f t="shared" si="71"/>
        <v>0</v>
      </c>
      <c r="O42" s="182">
        <f t="shared" si="72"/>
        <v>0</v>
      </c>
      <c r="P42" s="182">
        <f t="shared" si="73"/>
        <v>0</v>
      </c>
      <c r="Q42" s="223">
        <f t="shared" si="74"/>
        <v>6480</v>
      </c>
      <c r="R42" s="224" t="str">
        <f t="shared" si="75"/>
        <v>扣除15%残值</v>
      </c>
      <c r="S42" s="224"/>
      <c r="T42" s="202"/>
      <c r="U42" s="225">
        <v>288</v>
      </c>
      <c r="V42" s="225"/>
      <c r="W42" s="227"/>
      <c r="X42" s="227"/>
      <c r="Y42" s="227"/>
      <c r="Z42" s="227"/>
      <c r="AA42" s="227"/>
      <c r="AB42" s="239">
        <f t="shared" si="77"/>
        <v>14400</v>
      </c>
      <c r="AC42" s="240" t="str">
        <f>设备类勘察表!E40</f>
        <v>2006年1月</v>
      </c>
      <c r="AD42" s="241"/>
      <c r="AE42" s="242">
        <f>IF(AD42=0,0,IF(G42="否",ROUND((设定!$C$4-机器设备及辅助设施评估明细表!AC42)/365,2),0))</f>
        <v>0</v>
      </c>
      <c r="AF42" s="242">
        <f t="shared" si="16"/>
        <v>0</v>
      </c>
      <c r="AG42" s="249">
        <f t="shared" si="17"/>
        <v>0</v>
      </c>
      <c r="AH42" s="249" t="s">
        <v>390</v>
      </c>
      <c r="AI42" s="250"/>
      <c r="AJ42" s="251" t="s">
        <v>275</v>
      </c>
      <c r="AK42" s="242">
        <f>IF(AH42="年限法",0,IF(AJ42=0,0,VLOOKUP(AJ42,成新率说明!$H$3:$I$6,2,0)))</f>
        <v>12</v>
      </c>
      <c r="AL42" s="251" t="s">
        <v>275</v>
      </c>
      <c r="AM42" s="242">
        <f>IF(AL42="",0,VLOOKUP(AL42,成新率说明!$H$7:$I$11,2,0))</f>
        <v>30</v>
      </c>
      <c r="AN42" s="251" t="s">
        <v>275</v>
      </c>
      <c r="AO42" s="242">
        <f>IF(AH42="年限法",0,IF(AN42=0,0,VLOOKUP(AN42,成新率说明!$H$12:$I$15,2,0)))</f>
        <v>18</v>
      </c>
      <c r="AP42" s="264">
        <f t="shared" si="78"/>
        <v>60</v>
      </c>
      <c r="AQ42" s="250">
        <f t="shared" si="79"/>
        <v>0.6</v>
      </c>
      <c r="AR42" s="251"/>
      <c r="AS42" s="251"/>
      <c r="AT42" s="265">
        <f t="shared" ref="AT40:AT61" si="80">IF(AH42="年限法",AG42/100,IF(AH42="勘察法",ROUND(AP42/100,2),ROUND(AG42*AI42/100+AP42*AQ42/100,2)))</f>
        <v>0.6</v>
      </c>
      <c r="AU42" s="239">
        <f t="shared" si="67"/>
        <v>6480</v>
      </c>
      <c r="AV42" s="227" t="s">
        <v>395</v>
      </c>
      <c r="AW42" s="272">
        <f>IF(AV42="",0,VLOOKUP(AV42,残值率参考表!$C$4:$D$23,2,0))</f>
        <v>0.15</v>
      </c>
      <c r="AX42" s="225"/>
      <c r="AY42" s="242">
        <f t="shared" si="56"/>
        <v>0</v>
      </c>
      <c r="AZ42" s="241"/>
      <c r="BA42" s="241"/>
      <c r="BB42" s="241"/>
      <c r="BC42" s="242">
        <f t="shared" si="53"/>
        <v>0</v>
      </c>
      <c r="BD42" s="251"/>
      <c r="BE42" s="239">
        <f t="shared" si="76"/>
        <v>6480</v>
      </c>
      <c r="BF42" s="275" t="str">
        <f t="shared" si="66"/>
        <v>扣除15%残值</v>
      </c>
    </row>
    <row r="43" s="156" customFormat="1" ht="22.15" customHeight="1" spans="1:58">
      <c r="A43" s="182">
        <f>设备类勘察表!A41</f>
        <v>37</v>
      </c>
      <c r="B43" s="182" t="str">
        <f>设备类勘察表!B41</f>
        <v>B电缆线-4</v>
      </c>
      <c r="C43" s="182">
        <f>设备类勘察表!C41</f>
        <v>400</v>
      </c>
      <c r="D43" s="182">
        <f>设备类勘察表!D41</f>
        <v>0</v>
      </c>
      <c r="E43" s="182" t="str">
        <f>设备类勘察表!G41</f>
        <v>米</v>
      </c>
      <c r="F43" s="182">
        <f>设备类勘察表!F41</f>
        <v>560</v>
      </c>
      <c r="G43" s="183" t="s">
        <v>230</v>
      </c>
      <c r="H43" s="184">
        <f t="shared" si="49"/>
        <v>70000</v>
      </c>
      <c r="I43" s="199">
        <f t="shared" si="54"/>
        <v>0.6</v>
      </c>
      <c r="J43" s="199">
        <f t="shared" si="55"/>
        <v>0.15</v>
      </c>
      <c r="K43" s="200">
        <f t="shared" si="68"/>
        <v>31500</v>
      </c>
      <c r="L43" s="182">
        <f t="shared" si="69"/>
        <v>0</v>
      </c>
      <c r="M43" s="182">
        <f t="shared" si="70"/>
        <v>0</v>
      </c>
      <c r="N43" s="182">
        <f t="shared" si="71"/>
        <v>0</v>
      </c>
      <c r="O43" s="182">
        <f t="shared" si="72"/>
        <v>0</v>
      </c>
      <c r="P43" s="182">
        <f t="shared" si="73"/>
        <v>0</v>
      </c>
      <c r="Q43" s="223">
        <f t="shared" si="74"/>
        <v>31500</v>
      </c>
      <c r="R43" s="224" t="str">
        <f t="shared" si="75"/>
        <v>扣除15%残值</v>
      </c>
      <c r="S43" s="224"/>
      <c r="T43" s="202"/>
      <c r="U43" s="225">
        <v>125</v>
      </c>
      <c r="V43" s="225"/>
      <c r="W43" s="227"/>
      <c r="X43" s="227"/>
      <c r="Y43" s="227"/>
      <c r="Z43" s="227"/>
      <c r="AA43" s="227"/>
      <c r="AB43" s="239">
        <f t="shared" si="77"/>
        <v>70000</v>
      </c>
      <c r="AC43" s="240" t="str">
        <f>设备类勘察表!E41</f>
        <v>2006年1月</v>
      </c>
      <c r="AD43" s="241"/>
      <c r="AE43" s="242">
        <f>IF(AD43=0,0,IF(G43="否",ROUND((设定!$C$4-机器设备及辅助设施评估明细表!AC43)/365,2),0))</f>
        <v>0</v>
      </c>
      <c r="AF43" s="242">
        <f t="shared" si="16"/>
        <v>0</v>
      </c>
      <c r="AG43" s="249">
        <f t="shared" si="17"/>
        <v>0</v>
      </c>
      <c r="AH43" s="249" t="s">
        <v>390</v>
      </c>
      <c r="AI43" s="250"/>
      <c r="AJ43" s="251" t="s">
        <v>275</v>
      </c>
      <c r="AK43" s="242">
        <f>IF(AH43="年限法",0,IF(AJ43=0,0,VLOOKUP(AJ43,成新率说明!$H$3:$I$6,2,0)))</f>
        <v>12</v>
      </c>
      <c r="AL43" s="251" t="s">
        <v>275</v>
      </c>
      <c r="AM43" s="242">
        <f>IF(AL43="",0,VLOOKUP(AL43,成新率说明!$H$7:$I$11,2,0))</f>
        <v>30</v>
      </c>
      <c r="AN43" s="251" t="s">
        <v>275</v>
      </c>
      <c r="AO43" s="242">
        <f>IF(AH43="年限法",0,IF(AN43=0,0,VLOOKUP(AN43,成新率说明!$H$12:$I$15,2,0)))</f>
        <v>18</v>
      </c>
      <c r="AP43" s="264">
        <f t="shared" si="78"/>
        <v>60</v>
      </c>
      <c r="AQ43" s="250">
        <f t="shared" si="79"/>
        <v>0.6</v>
      </c>
      <c r="AR43" s="251"/>
      <c r="AS43" s="251"/>
      <c r="AT43" s="265">
        <f t="shared" si="80"/>
        <v>0.6</v>
      </c>
      <c r="AU43" s="239">
        <f t="shared" si="67"/>
        <v>31500</v>
      </c>
      <c r="AV43" s="227" t="s">
        <v>395</v>
      </c>
      <c r="AW43" s="272">
        <f>IF(AV43="",0,VLOOKUP(AV43,残值率参考表!$C$4:$D$23,2,0))</f>
        <v>0.15</v>
      </c>
      <c r="AX43" s="225"/>
      <c r="AY43" s="242">
        <f t="shared" si="56"/>
        <v>0</v>
      </c>
      <c r="AZ43" s="241"/>
      <c r="BA43" s="241"/>
      <c r="BB43" s="241"/>
      <c r="BC43" s="242">
        <f t="shared" si="53"/>
        <v>0</v>
      </c>
      <c r="BD43" s="251"/>
      <c r="BE43" s="239">
        <f t="shared" si="76"/>
        <v>31500</v>
      </c>
      <c r="BF43" s="275" t="str">
        <f t="shared" si="66"/>
        <v>扣除15%残值</v>
      </c>
    </row>
    <row r="44" s="156" customFormat="1" ht="22.15" customHeight="1" spans="1:58">
      <c r="A44" s="182">
        <f>设备类勘察表!A42</f>
        <v>38</v>
      </c>
      <c r="B44" s="182" t="str">
        <f>设备类勘察表!B42</f>
        <v>1#焊管机-C电缆线</v>
      </c>
      <c r="C44" s="182" t="str">
        <f>设备类勘察表!C42</f>
        <v>3*240+120</v>
      </c>
      <c r="D44" s="182">
        <f>设备类勘察表!D42</f>
        <v>0</v>
      </c>
      <c r="E44" s="182" t="str">
        <f>设备类勘察表!G42</f>
        <v>米</v>
      </c>
      <c r="F44" s="182">
        <f>设备类勘察表!F42</f>
        <v>60</v>
      </c>
      <c r="G44" s="183" t="s">
        <v>230</v>
      </c>
      <c r="H44" s="184">
        <f t="shared" si="49"/>
        <v>43200</v>
      </c>
      <c r="I44" s="199">
        <f t="shared" si="54"/>
        <v>0.6</v>
      </c>
      <c r="J44" s="199">
        <f t="shared" si="55"/>
        <v>0.15</v>
      </c>
      <c r="K44" s="200">
        <f t="shared" si="68"/>
        <v>19440</v>
      </c>
      <c r="L44" s="182">
        <f t="shared" si="69"/>
        <v>0</v>
      </c>
      <c r="M44" s="182">
        <f t="shared" si="70"/>
        <v>0</v>
      </c>
      <c r="N44" s="182">
        <f t="shared" si="71"/>
        <v>0</v>
      </c>
      <c r="O44" s="182">
        <f t="shared" si="72"/>
        <v>0</v>
      </c>
      <c r="P44" s="182">
        <f t="shared" si="73"/>
        <v>0</v>
      </c>
      <c r="Q44" s="223">
        <f t="shared" si="74"/>
        <v>19440</v>
      </c>
      <c r="R44" s="224" t="str">
        <f t="shared" si="75"/>
        <v>扣除15%残值</v>
      </c>
      <c r="S44" s="224"/>
      <c r="T44" s="202"/>
      <c r="U44" s="225">
        <v>720</v>
      </c>
      <c r="V44" s="225"/>
      <c r="W44" s="227"/>
      <c r="X44" s="227"/>
      <c r="Y44" s="227"/>
      <c r="Z44" s="227"/>
      <c r="AA44" s="227"/>
      <c r="AB44" s="239">
        <f t="shared" si="77"/>
        <v>43200</v>
      </c>
      <c r="AC44" s="240" t="str">
        <f>设备类勘察表!E42</f>
        <v>2006年1月</v>
      </c>
      <c r="AD44" s="241"/>
      <c r="AE44" s="242">
        <f>IF(AD44=0,0,IF(G44="否",ROUND((设定!$C$4-机器设备及辅助设施评估明细表!AC44)/365,2),0))</f>
        <v>0</v>
      </c>
      <c r="AF44" s="242">
        <f t="shared" si="16"/>
        <v>0</v>
      </c>
      <c r="AG44" s="249">
        <f t="shared" si="17"/>
        <v>0</v>
      </c>
      <c r="AH44" s="249" t="s">
        <v>390</v>
      </c>
      <c r="AI44" s="250"/>
      <c r="AJ44" s="251" t="s">
        <v>275</v>
      </c>
      <c r="AK44" s="242">
        <f>IF(AH44="年限法",0,IF(AJ44=0,0,VLOOKUP(AJ44,成新率说明!$H$3:$I$6,2,0)))</f>
        <v>12</v>
      </c>
      <c r="AL44" s="251" t="s">
        <v>275</v>
      </c>
      <c r="AM44" s="242">
        <f>IF(AL44="",0,VLOOKUP(AL44,成新率说明!$H$7:$I$11,2,0))</f>
        <v>30</v>
      </c>
      <c r="AN44" s="251" t="s">
        <v>275</v>
      </c>
      <c r="AO44" s="242">
        <f>IF(AH44="年限法",0,IF(AN44=0,0,VLOOKUP(AN44,成新率说明!$H$12:$I$15,2,0)))</f>
        <v>18</v>
      </c>
      <c r="AP44" s="264">
        <f t="shared" si="78"/>
        <v>60</v>
      </c>
      <c r="AQ44" s="250">
        <f t="shared" si="79"/>
        <v>0.6</v>
      </c>
      <c r="AR44" s="251"/>
      <c r="AS44" s="251"/>
      <c r="AT44" s="265">
        <f t="shared" si="80"/>
        <v>0.6</v>
      </c>
      <c r="AU44" s="239">
        <f t="shared" si="67"/>
        <v>19440</v>
      </c>
      <c r="AV44" s="227" t="s">
        <v>395</v>
      </c>
      <c r="AW44" s="272">
        <f>IF(AV44="",0,VLOOKUP(AV44,残值率参考表!$C$4:$D$23,2,0))</f>
        <v>0.15</v>
      </c>
      <c r="AX44" s="225"/>
      <c r="AY44" s="242">
        <f t="shared" ref="AY44:AY75" si="81">ROUND(BA44/2,1)</f>
        <v>0</v>
      </c>
      <c r="AZ44" s="241"/>
      <c r="BA44" s="241"/>
      <c r="BB44" s="241"/>
      <c r="BC44" s="242">
        <f t="shared" ref="BC44:BC66" si="82">AX44+AY44+AZ44+BA44+BB44</f>
        <v>0</v>
      </c>
      <c r="BD44" s="251"/>
      <c r="BE44" s="239">
        <f t="shared" si="76"/>
        <v>19440</v>
      </c>
      <c r="BF44" s="275" t="str">
        <f t="shared" si="66"/>
        <v>扣除15%残值</v>
      </c>
    </row>
    <row r="45" s="156" customFormat="1" ht="22.15" customHeight="1" spans="1:58">
      <c r="A45" s="182">
        <f>设备类勘察表!A43</f>
        <v>39</v>
      </c>
      <c r="B45" s="182" t="str">
        <f>设备类勘察表!B43</f>
        <v>2#焊管机-D电缆线-1</v>
      </c>
      <c r="C45" s="182" t="str">
        <f>设备类勘察表!C43</f>
        <v>3*95+50</v>
      </c>
      <c r="D45" s="182">
        <f>设备类勘察表!D43</f>
        <v>0</v>
      </c>
      <c r="E45" s="182" t="str">
        <f>设备类勘察表!G43</f>
        <v>米</v>
      </c>
      <c r="F45" s="182">
        <f>设备类勘察表!F43</f>
        <v>180</v>
      </c>
      <c r="G45" s="183" t="s">
        <v>230</v>
      </c>
      <c r="H45" s="184">
        <f t="shared" si="49"/>
        <v>51840</v>
      </c>
      <c r="I45" s="199">
        <f t="shared" si="54"/>
        <v>0.6</v>
      </c>
      <c r="J45" s="199">
        <f t="shared" si="55"/>
        <v>0.15</v>
      </c>
      <c r="K45" s="200">
        <f t="shared" si="68"/>
        <v>23328</v>
      </c>
      <c r="L45" s="182">
        <f t="shared" si="69"/>
        <v>0</v>
      </c>
      <c r="M45" s="182">
        <f t="shared" si="70"/>
        <v>0</v>
      </c>
      <c r="N45" s="182">
        <f t="shared" si="71"/>
        <v>0</v>
      </c>
      <c r="O45" s="182">
        <f t="shared" si="72"/>
        <v>0</v>
      </c>
      <c r="P45" s="182">
        <f t="shared" si="73"/>
        <v>0</v>
      </c>
      <c r="Q45" s="223">
        <f t="shared" si="74"/>
        <v>23328</v>
      </c>
      <c r="R45" s="224" t="str">
        <f t="shared" si="75"/>
        <v>扣除15%残值</v>
      </c>
      <c r="S45" s="224"/>
      <c r="T45" s="202"/>
      <c r="U45" s="225">
        <v>288</v>
      </c>
      <c r="V45" s="225"/>
      <c r="W45" s="227"/>
      <c r="X45" s="227"/>
      <c r="Y45" s="227"/>
      <c r="Z45" s="227"/>
      <c r="AA45" s="227"/>
      <c r="AB45" s="239">
        <f t="shared" si="77"/>
        <v>51840</v>
      </c>
      <c r="AC45" s="240" t="str">
        <f>设备类勘察表!E43</f>
        <v>2006年1月</v>
      </c>
      <c r="AD45" s="241"/>
      <c r="AE45" s="242">
        <f>IF(AD45=0,0,IF(G45="否",ROUND((设定!$C$4-机器设备及辅助设施评估明细表!AC45)/365,2),0))</f>
        <v>0</v>
      </c>
      <c r="AF45" s="242">
        <f t="shared" si="16"/>
        <v>0</v>
      </c>
      <c r="AG45" s="249">
        <f t="shared" si="17"/>
        <v>0</v>
      </c>
      <c r="AH45" s="249" t="s">
        <v>390</v>
      </c>
      <c r="AI45" s="250"/>
      <c r="AJ45" s="251" t="s">
        <v>275</v>
      </c>
      <c r="AK45" s="242">
        <f>IF(AH45="年限法",0,IF(AJ45=0,0,VLOOKUP(AJ45,成新率说明!$H$3:$I$6,2,0)))</f>
        <v>12</v>
      </c>
      <c r="AL45" s="251" t="s">
        <v>275</v>
      </c>
      <c r="AM45" s="242">
        <f>IF(AL45="",0,VLOOKUP(AL45,成新率说明!$H$7:$I$11,2,0))</f>
        <v>30</v>
      </c>
      <c r="AN45" s="251" t="s">
        <v>275</v>
      </c>
      <c r="AO45" s="242">
        <f>IF(AH45="年限法",0,IF(AN45=0,0,VLOOKUP(AN45,成新率说明!$H$12:$I$15,2,0)))</f>
        <v>18</v>
      </c>
      <c r="AP45" s="264">
        <f t="shared" si="78"/>
        <v>60</v>
      </c>
      <c r="AQ45" s="250">
        <f t="shared" si="79"/>
        <v>0.6</v>
      </c>
      <c r="AR45" s="251"/>
      <c r="AS45" s="251"/>
      <c r="AT45" s="265">
        <f t="shared" si="80"/>
        <v>0.6</v>
      </c>
      <c r="AU45" s="239">
        <f t="shared" si="67"/>
        <v>23328</v>
      </c>
      <c r="AV45" s="227" t="s">
        <v>395</v>
      </c>
      <c r="AW45" s="272">
        <f>IF(AV45="",0,VLOOKUP(AV45,残值率参考表!$C$4:$D$23,2,0))</f>
        <v>0.15</v>
      </c>
      <c r="AX45" s="225"/>
      <c r="AY45" s="242">
        <f t="shared" si="81"/>
        <v>0</v>
      </c>
      <c r="AZ45" s="241"/>
      <c r="BA45" s="241"/>
      <c r="BB45" s="241"/>
      <c r="BC45" s="242">
        <f t="shared" si="82"/>
        <v>0</v>
      </c>
      <c r="BD45" s="251"/>
      <c r="BE45" s="239">
        <f t="shared" si="76"/>
        <v>23328</v>
      </c>
      <c r="BF45" s="275" t="str">
        <f t="shared" si="66"/>
        <v>扣除15%残值</v>
      </c>
    </row>
    <row r="46" s="156" customFormat="1" ht="22.15" customHeight="1" spans="1:58">
      <c r="A46" s="182">
        <f>设备类勘察表!A44</f>
        <v>40</v>
      </c>
      <c r="B46" s="182" t="str">
        <f>设备类勘察表!B44</f>
        <v>2#焊管机-D电缆线-2</v>
      </c>
      <c r="C46" s="182" t="str">
        <f>设备类勘察表!C44</f>
        <v>3*70+35</v>
      </c>
      <c r="D46" s="182">
        <f>设备类勘察表!D44</f>
        <v>0</v>
      </c>
      <c r="E46" s="182" t="str">
        <f>设备类勘察表!G44</f>
        <v>米</v>
      </c>
      <c r="F46" s="182">
        <f>设备类勘察表!F44</f>
        <v>90</v>
      </c>
      <c r="G46" s="183" t="s">
        <v>230</v>
      </c>
      <c r="H46" s="184">
        <f t="shared" ref="H46:H51" si="83">AB46</f>
        <v>18540</v>
      </c>
      <c r="I46" s="199">
        <f t="shared" si="54"/>
        <v>0.6</v>
      </c>
      <c r="J46" s="199">
        <f t="shared" si="55"/>
        <v>0.15</v>
      </c>
      <c r="K46" s="200">
        <f t="shared" si="68"/>
        <v>8343</v>
      </c>
      <c r="L46" s="182">
        <f t="shared" si="69"/>
        <v>0</v>
      </c>
      <c r="M46" s="182">
        <f t="shared" si="70"/>
        <v>0</v>
      </c>
      <c r="N46" s="182">
        <f t="shared" si="71"/>
        <v>0</v>
      </c>
      <c r="O46" s="182">
        <f t="shared" si="72"/>
        <v>0</v>
      </c>
      <c r="P46" s="182">
        <f t="shared" si="73"/>
        <v>0</v>
      </c>
      <c r="Q46" s="223">
        <f t="shared" si="74"/>
        <v>8343</v>
      </c>
      <c r="R46" s="224" t="str">
        <f t="shared" si="75"/>
        <v>扣除15%残值</v>
      </c>
      <c r="S46" s="224"/>
      <c r="T46" s="202"/>
      <c r="U46" s="225">
        <v>206</v>
      </c>
      <c r="V46" s="225"/>
      <c r="W46" s="227"/>
      <c r="X46" s="227"/>
      <c r="Y46" s="227"/>
      <c r="Z46" s="227"/>
      <c r="AA46" s="227"/>
      <c r="AB46" s="239">
        <f t="shared" si="77"/>
        <v>18540</v>
      </c>
      <c r="AC46" s="240" t="str">
        <f>设备类勘察表!E44</f>
        <v>2006年1月</v>
      </c>
      <c r="AD46" s="241"/>
      <c r="AE46" s="242">
        <f>IF(AD46=0,0,IF(G46="否",ROUND((设定!$C$4-机器设备及辅助设施评估明细表!AC46)/365,2),0))</f>
        <v>0</v>
      </c>
      <c r="AF46" s="242">
        <f t="shared" si="16"/>
        <v>0</v>
      </c>
      <c r="AG46" s="249">
        <f t="shared" si="17"/>
        <v>0</v>
      </c>
      <c r="AH46" s="249" t="s">
        <v>390</v>
      </c>
      <c r="AI46" s="250"/>
      <c r="AJ46" s="251" t="s">
        <v>275</v>
      </c>
      <c r="AK46" s="242">
        <f>IF(AH46="年限法",0,IF(AJ46=0,0,VLOOKUP(AJ46,成新率说明!$H$3:$I$6,2,0)))</f>
        <v>12</v>
      </c>
      <c r="AL46" s="251" t="s">
        <v>275</v>
      </c>
      <c r="AM46" s="242">
        <f>IF(AL46="",0,VLOOKUP(AL46,成新率说明!$H$7:$I$11,2,0))</f>
        <v>30</v>
      </c>
      <c r="AN46" s="251" t="s">
        <v>275</v>
      </c>
      <c r="AO46" s="242">
        <f>IF(AH46="年限法",0,IF(AN46=0,0,VLOOKUP(AN46,成新率说明!$H$12:$I$15,2,0)))</f>
        <v>18</v>
      </c>
      <c r="AP46" s="264">
        <f t="shared" si="78"/>
        <v>60</v>
      </c>
      <c r="AQ46" s="250">
        <f t="shared" si="79"/>
        <v>0.6</v>
      </c>
      <c r="AR46" s="251"/>
      <c r="AS46" s="251"/>
      <c r="AT46" s="265">
        <f t="shared" si="80"/>
        <v>0.6</v>
      </c>
      <c r="AU46" s="239">
        <f t="shared" ref="AU46:AU51" si="84">ROUND(AB46*(AT46-AW46),0)</f>
        <v>8343</v>
      </c>
      <c r="AV46" s="227" t="s">
        <v>395</v>
      </c>
      <c r="AW46" s="272">
        <f>IF(AV46="",0,VLOOKUP(AV46,残值率参考表!$C$4:$D$23,2,0))</f>
        <v>0.15</v>
      </c>
      <c r="AX46" s="225"/>
      <c r="AY46" s="242">
        <f t="shared" si="81"/>
        <v>0</v>
      </c>
      <c r="AZ46" s="241"/>
      <c r="BA46" s="241"/>
      <c r="BB46" s="241"/>
      <c r="BC46" s="242">
        <f t="shared" si="82"/>
        <v>0</v>
      </c>
      <c r="BD46" s="251"/>
      <c r="BE46" s="239">
        <f t="shared" ref="BE40:BE64" si="85">IF(AX46=0,IF(G46="可",ROUND(AB46*BC46/100,0),ROUND(AB46*(AT46-AW46),0)),ROUND(AX46*F46,0))</f>
        <v>8343</v>
      </c>
      <c r="BF46" s="275" t="str">
        <f t="shared" ref="BF46:BF51" si="86">IF(AW46=0,IF(AX46=0,"",AX46&amp;"元/"&amp;E46),("扣除"&amp;AW46*100&amp;"%残值"))</f>
        <v>扣除15%残值</v>
      </c>
    </row>
    <row r="47" s="156" customFormat="1" ht="22.15" customHeight="1" spans="1:58">
      <c r="A47" s="182">
        <f>设备类勘察表!A45</f>
        <v>41</v>
      </c>
      <c r="B47" s="182" t="str">
        <f>设备类勘察表!B45</f>
        <v>2#焊管机-D电缆线-3</v>
      </c>
      <c r="C47" s="182" t="str">
        <f>设备类勘察表!C45</f>
        <v>3*16+6</v>
      </c>
      <c r="D47" s="182">
        <f>设备类勘察表!D45</f>
        <v>0</v>
      </c>
      <c r="E47" s="182" t="str">
        <f>设备类勘察表!G45</f>
        <v>米</v>
      </c>
      <c r="F47" s="182">
        <f>设备类勘察表!F45</f>
        <v>90</v>
      </c>
      <c r="G47" s="183" t="s">
        <v>230</v>
      </c>
      <c r="H47" s="184">
        <f t="shared" si="83"/>
        <v>4770</v>
      </c>
      <c r="I47" s="199">
        <f t="shared" si="54"/>
        <v>0.6</v>
      </c>
      <c r="J47" s="199">
        <f t="shared" si="55"/>
        <v>0.15</v>
      </c>
      <c r="K47" s="200">
        <f t="shared" si="68"/>
        <v>2147</v>
      </c>
      <c r="L47" s="182">
        <f t="shared" si="69"/>
        <v>0</v>
      </c>
      <c r="M47" s="182">
        <f t="shared" si="70"/>
        <v>0</v>
      </c>
      <c r="N47" s="182">
        <f t="shared" si="71"/>
        <v>0</v>
      </c>
      <c r="O47" s="182">
        <f t="shared" si="72"/>
        <v>0</v>
      </c>
      <c r="P47" s="182">
        <f t="shared" si="73"/>
        <v>0</v>
      </c>
      <c r="Q47" s="223">
        <f t="shared" si="74"/>
        <v>2147</v>
      </c>
      <c r="R47" s="224" t="str">
        <f t="shared" si="75"/>
        <v>扣除15%残值</v>
      </c>
      <c r="S47" s="224"/>
      <c r="T47" s="202"/>
      <c r="U47" s="225">
        <v>53</v>
      </c>
      <c r="V47" s="225"/>
      <c r="W47" s="227"/>
      <c r="X47" s="227"/>
      <c r="Y47" s="227"/>
      <c r="Z47" s="227"/>
      <c r="AA47" s="227"/>
      <c r="AB47" s="239">
        <f t="shared" si="77"/>
        <v>4770</v>
      </c>
      <c r="AC47" s="240" t="str">
        <f>设备类勘察表!E45</f>
        <v>2006年1月</v>
      </c>
      <c r="AD47" s="241"/>
      <c r="AE47" s="242">
        <f>IF(AD47=0,0,IF(G47="否",ROUND((设定!$C$4-机器设备及辅助设施评估明细表!AC47)/365,2),0))</f>
        <v>0</v>
      </c>
      <c r="AF47" s="242">
        <f t="shared" si="16"/>
        <v>0</v>
      </c>
      <c r="AG47" s="249">
        <f t="shared" si="17"/>
        <v>0</v>
      </c>
      <c r="AH47" s="249" t="s">
        <v>390</v>
      </c>
      <c r="AI47" s="250"/>
      <c r="AJ47" s="251" t="s">
        <v>275</v>
      </c>
      <c r="AK47" s="242">
        <f>IF(AH47="年限法",0,IF(AJ47=0,0,VLOOKUP(AJ47,成新率说明!$H$3:$I$6,2,0)))</f>
        <v>12</v>
      </c>
      <c r="AL47" s="251" t="s">
        <v>275</v>
      </c>
      <c r="AM47" s="242">
        <f>IF(AL47="",0,VLOOKUP(AL47,成新率说明!$H$7:$I$11,2,0))</f>
        <v>30</v>
      </c>
      <c r="AN47" s="251" t="s">
        <v>275</v>
      </c>
      <c r="AO47" s="242">
        <f>IF(AH47="年限法",0,IF(AN47=0,0,VLOOKUP(AN47,成新率说明!$H$12:$I$15,2,0)))</f>
        <v>18</v>
      </c>
      <c r="AP47" s="264">
        <f t="shared" si="78"/>
        <v>60</v>
      </c>
      <c r="AQ47" s="250">
        <f t="shared" si="79"/>
        <v>0.6</v>
      </c>
      <c r="AR47" s="251"/>
      <c r="AS47" s="251"/>
      <c r="AT47" s="265">
        <f t="shared" si="80"/>
        <v>0.6</v>
      </c>
      <c r="AU47" s="239">
        <f t="shared" si="84"/>
        <v>2147</v>
      </c>
      <c r="AV47" s="227" t="s">
        <v>395</v>
      </c>
      <c r="AW47" s="272">
        <f>IF(AV47="",0,VLOOKUP(AV47,残值率参考表!$C$4:$D$23,2,0))</f>
        <v>0.15</v>
      </c>
      <c r="AX47" s="225"/>
      <c r="AY47" s="242">
        <f t="shared" si="81"/>
        <v>0</v>
      </c>
      <c r="AZ47" s="241"/>
      <c r="BA47" s="241"/>
      <c r="BB47" s="241"/>
      <c r="BC47" s="242">
        <f t="shared" si="82"/>
        <v>0</v>
      </c>
      <c r="BD47" s="251"/>
      <c r="BE47" s="239">
        <f t="shared" si="85"/>
        <v>2147</v>
      </c>
      <c r="BF47" s="275" t="str">
        <f t="shared" si="86"/>
        <v>扣除15%残值</v>
      </c>
    </row>
    <row r="48" s="156" customFormat="1" ht="22.15" customHeight="1" spans="1:58">
      <c r="A48" s="182">
        <f>设备类勘察表!A46</f>
        <v>42</v>
      </c>
      <c r="B48" s="182" t="str">
        <f>设备类勘察表!B46</f>
        <v>3#焊管机-E电缆线-1</v>
      </c>
      <c r="C48" s="182" t="str">
        <f>设备类勘察表!C46</f>
        <v>3*185+95</v>
      </c>
      <c r="D48" s="182">
        <f>设备类勘察表!D46</f>
        <v>0</v>
      </c>
      <c r="E48" s="182" t="str">
        <f>设备类勘察表!G46</f>
        <v>米</v>
      </c>
      <c r="F48" s="182">
        <f>设备类勘察表!F46</f>
        <v>100</v>
      </c>
      <c r="G48" s="183" t="s">
        <v>230</v>
      </c>
      <c r="H48" s="184">
        <f t="shared" si="83"/>
        <v>55400</v>
      </c>
      <c r="I48" s="199">
        <f t="shared" si="54"/>
        <v>0.6</v>
      </c>
      <c r="J48" s="199">
        <f t="shared" si="55"/>
        <v>0.15</v>
      </c>
      <c r="K48" s="200">
        <f t="shared" si="68"/>
        <v>24930</v>
      </c>
      <c r="L48" s="182">
        <f t="shared" si="69"/>
        <v>0</v>
      </c>
      <c r="M48" s="182">
        <f t="shared" si="70"/>
        <v>0</v>
      </c>
      <c r="N48" s="182">
        <f t="shared" si="71"/>
        <v>0</v>
      </c>
      <c r="O48" s="182">
        <f t="shared" si="72"/>
        <v>0</v>
      </c>
      <c r="P48" s="182">
        <f t="shared" si="73"/>
        <v>0</v>
      </c>
      <c r="Q48" s="223">
        <f t="shared" si="74"/>
        <v>24930</v>
      </c>
      <c r="R48" s="224" t="str">
        <f t="shared" si="75"/>
        <v>扣除15%残值</v>
      </c>
      <c r="S48" s="224"/>
      <c r="T48" s="202"/>
      <c r="U48" s="225">
        <v>554</v>
      </c>
      <c r="V48" s="225"/>
      <c r="W48" s="227"/>
      <c r="X48" s="227"/>
      <c r="Y48" s="227"/>
      <c r="Z48" s="227"/>
      <c r="AA48" s="227"/>
      <c r="AB48" s="239">
        <f t="shared" si="77"/>
        <v>55400</v>
      </c>
      <c r="AC48" s="240" t="str">
        <f>设备类勘察表!E46</f>
        <v>2006年1月</v>
      </c>
      <c r="AD48" s="241"/>
      <c r="AE48" s="242">
        <f>IF(AD48=0,0,IF(G48="否",ROUND((设定!$C$4-机器设备及辅助设施评估明细表!AC48)/365,2),0))</f>
        <v>0</v>
      </c>
      <c r="AF48" s="242">
        <f t="shared" si="16"/>
        <v>0</v>
      </c>
      <c r="AG48" s="249">
        <f t="shared" si="17"/>
        <v>0</v>
      </c>
      <c r="AH48" s="249" t="s">
        <v>390</v>
      </c>
      <c r="AI48" s="250"/>
      <c r="AJ48" s="251" t="s">
        <v>275</v>
      </c>
      <c r="AK48" s="242">
        <f>IF(AH48="年限法",0,IF(AJ48=0,0,VLOOKUP(AJ48,成新率说明!$H$3:$I$6,2,0)))</f>
        <v>12</v>
      </c>
      <c r="AL48" s="251" t="s">
        <v>275</v>
      </c>
      <c r="AM48" s="242">
        <f>IF(AL48="",0,VLOOKUP(AL48,成新率说明!$H$7:$I$11,2,0))</f>
        <v>30</v>
      </c>
      <c r="AN48" s="251" t="s">
        <v>275</v>
      </c>
      <c r="AO48" s="242">
        <f>IF(AH48="年限法",0,IF(AN48=0,0,VLOOKUP(AN48,成新率说明!$H$12:$I$15,2,0)))</f>
        <v>18</v>
      </c>
      <c r="AP48" s="264">
        <f t="shared" si="78"/>
        <v>60</v>
      </c>
      <c r="AQ48" s="250">
        <f t="shared" si="79"/>
        <v>0.6</v>
      </c>
      <c r="AR48" s="251"/>
      <c r="AS48" s="251"/>
      <c r="AT48" s="265">
        <f t="shared" si="80"/>
        <v>0.6</v>
      </c>
      <c r="AU48" s="239">
        <f t="shared" si="84"/>
        <v>24930</v>
      </c>
      <c r="AV48" s="227" t="s">
        <v>395</v>
      </c>
      <c r="AW48" s="272">
        <f>IF(AV48="",0,VLOOKUP(AV48,残值率参考表!$C$4:$D$23,2,0))</f>
        <v>0.15</v>
      </c>
      <c r="AX48" s="225"/>
      <c r="AY48" s="242">
        <f t="shared" si="81"/>
        <v>0</v>
      </c>
      <c r="AZ48" s="241"/>
      <c r="BA48" s="241"/>
      <c r="BB48" s="241"/>
      <c r="BC48" s="242">
        <f t="shared" si="82"/>
        <v>0</v>
      </c>
      <c r="BD48" s="251"/>
      <c r="BE48" s="239">
        <f t="shared" si="85"/>
        <v>24930</v>
      </c>
      <c r="BF48" s="275" t="str">
        <f t="shared" si="86"/>
        <v>扣除15%残值</v>
      </c>
    </row>
    <row r="49" s="156" customFormat="1" ht="22.15" customHeight="1" spans="1:58">
      <c r="A49" s="182">
        <f>设备类勘察表!A47</f>
        <v>43</v>
      </c>
      <c r="B49" s="182" t="str">
        <f>设备类勘察表!B47</f>
        <v>3#焊管机-E电缆线-2</v>
      </c>
      <c r="C49" s="182" t="str">
        <f>设备类勘察表!C47</f>
        <v>3*70+35</v>
      </c>
      <c r="D49" s="182">
        <f>设备类勘察表!D47</f>
        <v>0</v>
      </c>
      <c r="E49" s="182" t="str">
        <f>设备类勘察表!G47</f>
        <v>米</v>
      </c>
      <c r="F49" s="182">
        <f>设备类勘察表!F47</f>
        <v>100</v>
      </c>
      <c r="G49" s="183" t="s">
        <v>230</v>
      </c>
      <c r="H49" s="184">
        <f t="shared" si="83"/>
        <v>20600</v>
      </c>
      <c r="I49" s="199">
        <f t="shared" si="54"/>
        <v>0.6</v>
      </c>
      <c r="J49" s="199">
        <f t="shared" si="55"/>
        <v>0.15</v>
      </c>
      <c r="K49" s="200">
        <f t="shared" si="68"/>
        <v>9270</v>
      </c>
      <c r="L49" s="182">
        <f t="shared" si="69"/>
        <v>0</v>
      </c>
      <c r="M49" s="182">
        <f t="shared" si="70"/>
        <v>0</v>
      </c>
      <c r="N49" s="182">
        <f t="shared" si="71"/>
        <v>0</v>
      </c>
      <c r="O49" s="182">
        <f t="shared" si="72"/>
        <v>0</v>
      </c>
      <c r="P49" s="182">
        <f t="shared" si="73"/>
        <v>0</v>
      </c>
      <c r="Q49" s="223">
        <f t="shared" si="74"/>
        <v>9270</v>
      </c>
      <c r="R49" s="224" t="str">
        <f t="shared" si="75"/>
        <v>扣除15%残值</v>
      </c>
      <c r="S49" s="224"/>
      <c r="T49" s="202"/>
      <c r="U49" s="225">
        <v>206</v>
      </c>
      <c r="V49" s="225"/>
      <c r="W49" s="227"/>
      <c r="X49" s="227"/>
      <c r="Y49" s="227"/>
      <c r="Z49" s="227"/>
      <c r="AA49" s="227"/>
      <c r="AB49" s="239">
        <f t="shared" si="77"/>
        <v>20600</v>
      </c>
      <c r="AC49" s="240" t="str">
        <f>设备类勘察表!E47</f>
        <v>2006年1月</v>
      </c>
      <c r="AD49" s="241"/>
      <c r="AE49" s="242">
        <f>IF(AD49=0,0,IF(G49="否",ROUND((设定!$C$4-机器设备及辅助设施评估明细表!AC49)/365,2),0))</f>
        <v>0</v>
      </c>
      <c r="AF49" s="242">
        <f t="shared" si="16"/>
        <v>0</v>
      </c>
      <c r="AG49" s="249">
        <f t="shared" si="17"/>
        <v>0</v>
      </c>
      <c r="AH49" s="249" t="s">
        <v>390</v>
      </c>
      <c r="AI49" s="250"/>
      <c r="AJ49" s="251" t="s">
        <v>275</v>
      </c>
      <c r="AK49" s="242">
        <f>IF(AH49="年限法",0,IF(AJ49=0,0,VLOOKUP(AJ49,成新率说明!$H$3:$I$6,2,0)))</f>
        <v>12</v>
      </c>
      <c r="AL49" s="251" t="s">
        <v>275</v>
      </c>
      <c r="AM49" s="242">
        <f>IF(AL49="",0,VLOOKUP(AL49,成新率说明!$H$7:$I$11,2,0))</f>
        <v>30</v>
      </c>
      <c r="AN49" s="251" t="s">
        <v>275</v>
      </c>
      <c r="AO49" s="242">
        <f>IF(AH49="年限法",0,IF(AN49=0,0,VLOOKUP(AN49,成新率说明!$H$12:$I$15,2,0)))</f>
        <v>18</v>
      </c>
      <c r="AP49" s="264">
        <f t="shared" si="78"/>
        <v>60</v>
      </c>
      <c r="AQ49" s="250">
        <f t="shared" si="79"/>
        <v>0.6</v>
      </c>
      <c r="AR49" s="251"/>
      <c r="AS49" s="251"/>
      <c r="AT49" s="265">
        <f t="shared" si="80"/>
        <v>0.6</v>
      </c>
      <c r="AU49" s="239">
        <f t="shared" si="84"/>
        <v>9270</v>
      </c>
      <c r="AV49" s="227" t="s">
        <v>395</v>
      </c>
      <c r="AW49" s="272">
        <f>IF(AV49="",0,VLOOKUP(AV49,残值率参考表!$C$4:$D$23,2,0))</f>
        <v>0.15</v>
      </c>
      <c r="AX49" s="225"/>
      <c r="AY49" s="242">
        <f t="shared" si="81"/>
        <v>0</v>
      </c>
      <c r="AZ49" s="241"/>
      <c r="BA49" s="241"/>
      <c r="BB49" s="241"/>
      <c r="BC49" s="242">
        <f t="shared" si="82"/>
        <v>0</v>
      </c>
      <c r="BD49" s="251"/>
      <c r="BE49" s="239">
        <f t="shared" si="85"/>
        <v>9270</v>
      </c>
      <c r="BF49" s="275" t="str">
        <f t="shared" si="86"/>
        <v>扣除15%残值</v>
      </c>
    </row>
    <row r="50" s="156" customFormat="1" ht="22.15" customHeight="1" spans="1:58">
      <c r="A50" s="182">
        <f>设备类勘察表!A48</f>
        <v>44</v>
      </c>
      <c r="B50" s="182" t="str">
        <f>设备类勘察表!B48</f>
        <v>3#焊管机-E电缆线-3</v>
      </c>
      <c r="C50" s="182" t="str">
        <f>设备类勘察表!C48</f>
        <v>3*16+6</v>
      </c>
      <c r="D50" s="182">
        <f>设备类勘察表!D48</f>
        <v>0</v>
      </c>
      <c r="E50" s="182" t="str">
        <f>设备类勘察表!G48</f>
        <v>米</v>
      </c>
      <c r="F50" s="182">
        <f>设备类勘察表!F48</f>
        <v>100</v>
      </c>
      <c r="G50" s="183" t="s">
        <v>230</v>
      </c>
      <c r="H50" s="184">
        <f t="shared" si="83"/>
        <v>5300</v>
      </c>
      <c r="I50" s="199">
        <f t="shared" si="54"/>
        <v>0.6</v>
      </c>
      <c r="J50" s="199">
        <f t="shared" si="55"/>
        <v>0.15</v>
      </c>
      <c r="K50" s="200">
        <f t="shared" si="68"/>
        <v>2385</v>
      </c>
      <c r="L50" s="182">
        <f t="shared" si="69"/>
        <v>0</v>
      </c>
      <c r="M50" s="182">
        <f t="shared" si="70"/>
        <v>0</v>
      </c>
      <c r="N50" s="182">
        <f t="shared" si="71"/>
        <v>0</v>
      </c>
      <c r="O50" s="182">
        <f t="shared" si="72"/>
        <v>0</v>
      </c>
      <c r="P50" s="182">
        <f t="shared" si="73"/>
        <v>0</v>
      </c>
      <c r="Q50" s="223">
        <f t="shared" si="74"/>
        <v>2385</v>
      </c>
      <c r="R50" s="224" t="str">
        <f t="shared" si="75"/>
        <v>扣除15%残值</v>
      </c>
      <c r="S50" s="224"/>
      <c r="T50" s="202"/>
      <c r="U50" s="225">
        <v>53</v>
      </c>
      <c r="V50" s="225"/>
      <c r="W50" s="227"/>
      <c r="X50" s="227"/>
      <c r="Y50" s="227"/>
      <c r="Z50" s="227"/>
      <c r="AA50" s="227"/>
      <c r="AB50" s="239">
        <f t="shared" si="77"/>
        <v>5300</v>
      </c>
      <c r="AC50" s="240" t="str">
        <f>设备类勘察表!E48</f>
        <v>2006年1月</v>
      </c>
      <c r="AD50" s="241"/>
      <c r="AE50" s="242">
        <f>IF(AD50=0,0,IF(G50="否",ROUND((设定!$C$4-机器设备及辅助设施评估明细表!AC50)/365,2),0))</f>
        <v>0</v>
      </c>
      <c r="AF50" s="242">
        <f t="shared" si="16"/>
        <v>0</v>
      </c>
      <c r="AG50" s="249">
        <f t="shared" si="17"/>
        <v>0</v>
      </c>
      <c r="AH50" s="249" t="s">
        <v>390</v>
      </c>
      <c r="AI50" s="250"/>
      <c r="AJ50" s="251" t="s">
        <v>275</v>
      </c>
      <c r="AK50" s="242">
        <f>IF(AH50="年限法",0,IF(AJ50=0,0,VLOOKUP(AJ50,成新率说明!$H$3:$I$6,2,0)))</f>
        <v>12</v>
      </c>
      <c r="AL50" s="251" t="s">
        <v>275</v>
      </c>
      <c r="AM50" s="242">
        <f>IF(AL50="",0,VLOOKUP(AL50,成新率说明!$H$7:$I$11,2,0))</f>
        <v>30</v>
      </c>
      <c r="AN50" s="251" t="s">
        <v>275</v>
      </c>
      <c r="AO50" s="242">
        <f>IF(AH50="年限法",0,IF(AN50=0,0,VLOOKUP(AN50,成新率说明!$H$12:$I$15,2,0)))</f>
        <v>18</v>
      </c>
      <c r="AP50" s="264">
        <f t="shared" si="78"/>
        <v>60</v>
      </c>
      <c r="AQ50" s="250">
        <f t="shared" si="79"/>
        <v>0.6</v>
      </c>
      <c r="AR50" s="251"/>
      <c r="AS50" s="251"/>
      <c r="AT50" s="265">
        <f t="shared" si="80"/>
        <v>0.6</v>
      </c>
      <c r="AU50" s="239">
        <f t="shared" si="84"/>
        <v>2385</v>
      </c>
      <c r="AV50" s="227" t="s">
        <v>395</v>
      </c>
      <c r="AW50" s="272">
        <f>IF(AV50="",0,VLOOKUP(AV50,残值率参考表!$C$4:$D$23,2,0))</f>
        <v>0.15</v>
      </c>
      <c r="AX50" s="225"/>
      <c r="AY50" s="242">
        <f t="shared" si="81"/>
        <v>0</v>
      </c>
      <c r="AZ50" s="241"/>
      <c r="BA50" s="241"/>
      <c r="BB50" s="241"/>
      <c r="BC50" s="242">
        <f t="shared" si="82"/>
        <v>0</v>
      </c>
      <c r="BD50" s="251"/>
      <c r="BE50" s="239">
        <f t="shared" si="85"/>
        <v>2385</v>
      </c>
      <c r="BF50" s="275" t="str">
        <f t="shared" si="86"/>
        <v>扣除15%残值</v>
      </c>
    </row>
    <row r="51" s="156" customFormat="1" ht="22.15" customHeight="1" spans="1:58">
      <c r="A51" s="182">
        <f>设备类勘察表!A49</f>
        <v>45</v>
      </c>
      <c r="B51" s="182" t="str">
        <f>设备类勘察表!B49</f>
        <v>4#焊管机-F电缆线-1</v>
      </c>
      <c r="C51" s="182" t="str">
        <f>设备类勘察表!C49</f>
        <v>3*150+70</v>
      </c>
      <c r="D51" s="182">
        <f>设备类勘察表!D49</f>
        <v>0</v>
      </c>
      <c r="E51" s="182" t="str">
        <f>设备类勘察表!G49</f>
        <v>米</v>
      </c>
      <c r="F51" s="182">
        <f>设备类勘察表!F49</f>
        <v>110</v>
      </c>
      <c r="G51" s="183" t="s">
        <v>230</v>
      </c>
      <c r="H51" s="184">
        <f t="shared" si="83"/>
        <v>44000</v>
      </c>
      <c r="I51" s="199">
        <f t="shared" si="54"/>
        <v>0.6</v>
      </c>
      <c r="J51" s="199">
        <f t="shared" si="55"/>
        <v>0.15</v>
      </c>
      <c r="K51" s="200">
        <f t="shared" si="68"/>
        <v>19800</v>
      </c>
      <c r="L51" s="182">
        <f t="shared" si="69"/>
        <v>0</v>
      </c>
      <c r="M51" s="182">
        <f t="shared" si="70"/>
        <v>0</v>
      </c>
      <c r="N51" s="182">
        <f t="shared" si="71"/>
        <v>0</v>
      </c>
      <c r="O51" s="182">
        <f t="shared" si="72"/>
        <v>0</v>
      </c>
      <c r="P51" s="182">
        <f t="shared" si="73"/>
        <v>0</v>
      </c>
      <c r="Q51" s="223">
        <f t="shared" si="74"/>
        <v>19800</v>
      </c>
      <c r="R51" s="224" t="str">
        <f t="shared" si="75"/>
        <v>扣除15%残值</v>
      </c>
      <c r="S51" s="224"/>
      <c r="T51" s="202"/>
      <c r="U51" s="225">
        <v>400</v>
      </c>
      <c r="V51" s="225"/>
      <c r="W51" s="227"/>
      <c r="X51" s="227"/>
      <c r="Y51" s="227"/>
      <c r="Z51" s="227"/>
      <c r="AA51" s="227"/>
      <c r="AB51" s="239">
        <f t="shared" si="77"/>
        <v>44000</v>
      </c>
      <c r="AC51" s="240" t="str">
        <f>设备类勘察表!E49</f>
        <v>2006年1月</v>
      </c>
      <c r="AD51" s="241"/>
      <c r="AE51" s="242">
        <f>IF(AD51=0,0,IF(G51="否",ROUND((设定!$C$4-机器设备及辅助设施评估明细表!AC51)/365,2),0))</f>
        <v>0</v>
      </c>
      <c r="AF51" s="242">
        <f t="shared" si="16"/>
        <v>0</v>
      </c>
      <c r="AG51" s="249">
        <f t="shared" si="17"/>
        <v>0</v>
      </c>
      <c r="AH51" s="249" t="s">
        <v>390</v>
      </c>
      <c r="AI51" s="250"/>
      <c r="AJ51" s="251" t="s">
        <v>275</v>
      </c>
      <c r="AK51" s="242">
        <f>IF(AH51="年限法",0,IF(AJ51=0,0,VLOOKUP(AJ51,成新率说明!$H$3:$I$6,2,0)))</f>
        <v>12</v>
      </c>
      <c r="AL51" s="251" t="s">
        <v>275</v>
      </c>
      <c r="AM51" s="242">
        <f>IF(AL51="",0,VLOOKUP(AL51,成新率说明!$H$7:$I$11,2,0))</f>
        <v>30</v>
      </c>
      <c r="AN51" s="251" t="s">
        <v>275</v>
      </c>
      <c r="AO51" s="242">
        <f>IF(AH51="年限法",0,IF(AN51=0,0,VLOOKUP(AN51,成新率说明!$H$12:$I$15,2,0)))</f>
        <v>18</v>
      </c>
      <c r="AP51" s="264">
        <f t="shared" si="78"/>
        <v>60</v>
      </c>
      <c r="AQ51" s="250">
        <f t="shared" si="79"/>
        <v>0.6</v>
      </c>
      <c r="AR51" s="251"/>
      <c r="AS51" s="251"/>
      <c r="AT51" s="265">
        <f t="shared" si="80"/>
        <v>0.6</v>
      </c>
      <c r="AU51" s="239">
        <f t="shared" ref="AU51:AU58" si="87">ROUND(AB51*(AT51-AW51),0)</f>
        <v>19800</v>
      </c>
      <c r="AV51" s="227" t="s">
        <v>395</v>
      </c>
      <c r="AW51" s="272">
        <f>IF(AV51="",0,VLOOKUP(AV51,残值率参考表!$C$4:$D$23,2,0))</f>
        <v>0.15</v>
      </c>
      <c r="AX51" s="225"/>
      <c r="AY51" s="242">
        <f t="shared" si="81"/>
        <v>0</v>
      </c>
      <c r="AZ51" s="241"/>
      <c r="BA51" s="241"/>
      <c r="BB51" s="241"/>
      <c r="BC51" s="242">
        <f t="shared" si="82"/>
        <v>0</v>
      </c>
      <c r="BD51" s="251"/>
      <c r="BE51" s="239">
        <f t="shared" si="85"/>
        <v>19800</v>
      </c>
      <c r="BF51" s="275" t="str">
        <f t="shared" si="86"/>
        <v>扣除15%残值</v>
      </c>
    </row>
    <row r="52" s="156" customFormat="1" ht="22.15" customHeight="1" spans="1:58">
      <c r="A52" s="182">
        <f>设备类勘察表!A50</f>
        <v>46</v>
      </c>
      <c r="B52" s="182" t="str">
        <f>设备类勘察表!B50</f>
        <v>4#焊管机-F电缆线-2</v>
      </c>
      <c r="C52" s="182" t="str">
        <f>设备类勘察表!C50</f>
        <v>3*50+25</v>
      </c>
      <c r="D52" s="182">
        <f>设备类勘察表!D50</f>
        <v>0</v>
      </c>
      <c r="E52" s="182" t="str">
        <f>设备类勘察表!G50</f>
        <v>米</v>
      </c>
      <c r="F52" s="182">
        <f>设备类勘察表!F50</f>
        <v>110</v>
      </c>
      <c r="G52" s="183" t="s">
        <v>230</v>
      </c>
      <c r="H52" s="184">
        <f t="shared" ref="H52:H63" si="88">AB52</f>
        <v>15840</v>
      </c>
      <c r="I52" s="199">
        <f t="shared" si="54"/>
        <v>0.6</v>
      </c>
      <c r="J52" s="199">
        <f t="shared" si="55"/>
        <v>0.15</v>
      </c>
      <c r="K52" s="200">
        <f t="shared" si="68"/>
        <v>7128</v>
      </c>
      <c r="L52" s="182">
        <f t="shared" si="69"/>
        <v>0</v>
      </c>
      <c r="M52" s="182">
        <f t="shared" si="70"/>
        <v>0</v>
      </c>
      <c r="N52" s="182">
        <f t="shared" si="71"/>
        <v>0</v>
      </c>
      <c r="O52" s="182">
        <f t="shared" si="72"/>
        <v>0</v>
      </c>
      <c r="P52" s="182">
        <f t="shared" si="73"/>
        <v>0</v>
      </c>
      <c r="Q52" s="223">
        <f t="shared" si="74"/>
        <v>7128</v>
      </c>
      <c r="R52" s="224" t="str">
        <f t="shared" si="75"/>
        <v>扣除15%残值</v>
      </c>
      <c r="S52" s="224"/>
      <c r="T52" s="202"/>
      <c r="U52" s="225">
        <v>144</v>
      </c>
      <c r="V52" s="225"/>
      <c r="W52" s="227"/>
      <c r="X52" s="227"/>
      <c r="Y52" s="227"/>
      <c r="Z52" s="227"/>
      <c r="AA52" s="227"/>
      <c r="AB52" s="239">
        <f t="shared" si="77"/>
        <v>15840</v>
      </c>
      <c r="AC52" s="240" t="str">
        <f>设备类勘察表!E50</f>
        <v>2006年1月</v>
      </c>
      <c r="AD52" s="241"/>
      <c r="AE52" s="242">
        <f>IF(AD52=0,0,IF(G52="否",ROUND((设定!$C$4-机器设备及辅助设施评估明细表!AC52)/365,2),0))</f>
        <v>0</v>
      </c>
      <c r="AF52" s="242">
        <f t="shared" si="16"/>
        <v>0</v>
      </c>
      <c r="AG52" s="249">
        <f t="shared" si="17"/>
        <v>0</v>
      </c>
      <c r="AH52" s="249" t="s">
        <v>390</v>
      </c>
      <c r="AI52" s="250"/>
      <c r="AJ52" s="251" t="s">
        <v>275</v>
      </c>
      <c r="AK52" s="242">
        <f>IF(AH52="年限法",0,IF(AJ52=0,0,VLOOKUP(AJ52,成新率说明!$H$3:$I$6,2,0)))</f>
        <v>12</v>
      </c>
      <c r="AL52" s="251" t="s">
        <v>275</v>
      </c>
      <c r="AM52" s="242">
        <f>IF(AL52="",0,VLOOKUP(AL52,成新率说明!$H$7:$I$11,2,0))</f>
        <v>30</v>
      </c>
      <c r="AN52" s="251" t="s">
        <v>275</v>
      </c>
      <c r="AO52" s="242">
        <f>IF(AH52="年限法",0,IF(AN52=0,0,VLOOKUP(AN52,成新率说明!$H$12:$I$15,2,0)))</f>
        <v>18</v>
      </c>
      <c r="AP52" s="264">
        <f t="shared" si="78"/>
        <v>60</v>
      </c>
      <c r="AQ52" s="250">
        <f t="shared" si="79"/>
        <v>0.6</v>
      </c>
      <c r="AR52" s="251"/>
      <c r="AS52" s="251"/>
      <c r="AT52" s="265">
        <f t="shared" si="80"/>
        <v>0.6</v>
      </c>
      <c r="AU52" s="239">
        <f t="shared" si="87"/>
        <v>7128</v>
      </c>
      <c r="AV52" s="227" t="s">
        <v>395</v>
      </c>
      <c r="AW52" s="272">
        <f>IF(AV52="",0,VLOOKUP(AV52,残值率参考表!$C$4:$D$23,2,0))</f>
        <v>0.15</v>
      </c>
      <c r="AX52" s="225"/>
      <c r="AY52" s="242">
        <f t="shared" si="81"/>
        <v>0</v>
      </c>
      <c r="AZ52" s="241"/>
      <c r="BA52" s="241"/>
      <c r="BB52" s="241"/>
      <c r="BC52" s="242">
        <f t="shared" si="82"/>
        <v>0</v>
      </c>
      <c r="BD52" s="251"/>
      <c r="BE52" s="239">
        <f t="shared" si="85"/>
        <v>7128</v>
      </c>
      <c r="BF52" s="275" t="str">
        <f t="shared" si="66"/>
        <v>扣除15%残值</v>
      </c>
    </row>
    <row r="53" s="156" customFormat="1" ht="22.15" customHeight="1" spans="1:58">
      <c r="A53" s="182">
        <f>设备类勘察表!A51</f>
        <v>47</v>
      </c>
      <c r="B53" s="182" t="str">
        <f>设备类勘察表!B51</f>
        <v>4#焊管机-F电缆线-3</v>
      </c>
      <c r="C53" s="182" t="str">
        <f>设备类勘察表!C51</f>
        <v>3*16+6</v>
      </c>
      <c r="D53" s="182">
        <f>设备类勘察表!D51</f>
        <v>0</v>
      </c>
      <c r="E53" s="182" t="str">
        <f>设备类勘察表!G51</f>
        <v>米</v>
      </c>
      <c r="F53" s="182">
        <f>设备类勘察表!F51</f>
        <v>110</v>
      </c>
      <c r="G53" s="183" t="s">
        <v>230</v>
      </c>
      <c r="H53" s="184">
        <f t="shared" si="88"/>
        <v>5830</v>
      </c>
      <c r="I53" s="199">
        <f t="shared" si="54"/>
        <v>0.6</v>
      </c>
      <c r="J53" s="199">
        <f t="shared" si="55"/>
        <v>0.15</v>
      </c>
      <c r="K53" s="200">
        <f t="shared" si="68"/>
        <v>2624</v>
      </c>
      <c r="L53" s="182">
        <f t="shared" si="69"/>
        <v>0</v>
      </c>
      <c r="M53" s="182">
        <f t="shared" si="70"/>
        <v>0</v>
      </c>
      <c r="N53" s="182">
        <f t="shared" si="71"/>
        <v>0</v>
      </c>
      <c r="O53" s="182">
        <f t="shared" si="72"/>
        <v>0</v>
      </c>
      <c r="P53" s="182">
        <f t="shared" si="73"/>
        <v>0</v>
      </c>
      <c r="Q53" s="223">
        <f t="shared" si="74"/>
        <v>2624</v>
      </c>
      <c r="R53" s="224" t="str">
        <f t="shared" si="75"/>
        <v>扣除15%残值</v>
      </c>
      <c r="S53" s="224"/>
      <c r="T53" s="202"/>
      <c r="U53" s="225">
        <v>53</v>
      </c>
      <c r="V53" s="225"/>
      <c r="W53" s="227"/>
      <c r="X53" s="227"/>
      <c r="Y53" s="227"/>
      <c r="Z53" s="227"/>
      <c r="AA53" s="227"/>
      <c r="AB53" s="239">
        <f t="shared" si="77"/>
        <v>5830</v>
      </c>
      <c r="AC53" s="240" t="str">
        <f>设备类勘察表!E51</f>
        <v>2006年1月</v>
      </c>
      <c r="AD53" s="241"/>
      <c r="AE53" s="242">
        <f>IF(AD53=0,0,IF(G53="否",ROUND((设定!$C$4-机器设备及辅助设施评估明细表!AC53)/365,2),0))</f>
        <v>0</v>
      </c>
      <c r="AF53" s="242">
        <f t="shared" si="16"/>
        <v>0</v>
      </c>
      <c r="AG53" s="249">
        <f t="shared" si="17"/>
        <v>0</v>
      </c>
      <c r="AH53" s="249" t="s">
        <v>390</v>
      </c>
      <c r="AI53" s="250"/>
      <c r="AJ53" s="251" t="s">
        <v>275</v>
      </c>
      <c r="AK53" s="242">
        <f>IF(AH53="年限法",0,IF(AJ53=0,0,VLOOKUP(AJ53,成新率说明!$H$3:$I$6,2,0)))</f>
        <v>12</v>
      </c>
      <c r="AL53" s="251" t="s">
        <v>275</v>
      </c>
      <c r="AM53" s="242">
        <f>IF(AL53="",0,VLOOKUP(AL53,成新率说明!$H$7:$I$11,2,0))</f>
        <v>30</v>
      </c>
      <c r="AN53" s="251" t="s">
        <v>275</v>
      </c>
      <c r="AO53" s="242">
        <f>IF(AH53="年限法",0,IF(AN53=0,0,VLOOKUP(AN53,成新率说明!$H$12:$I$15,2,0)))</f>
        <v>18</v>
      </c>
      <c r="AP53" s="264">
        <f t="shared" si="78"/>
        <v>60</v>
      </c>
      <c r="AQ53" s="250">
        <f t="shared" si="79"/>
        <v>0.6</v>
      </c>
      <c r="AR53" s="251"/>
      <c r="AS53" s="251"/>
      <c r="AT53" s="265">
        <f t="shared" si="80"/>
        <v>0.6</v>
      </c>
      <c r="AU53" s="239">
        <f t="shared" si="87"/>
        <v>2624</v>
      </c>
      <c r="AV53" s="227" t="s">
        <v>395</v>
      </c>
      <c r="AW53" s="272">
        <f>IF(AV53="",0,VLOOKUP(AV53,残值率参考表!$C$4:$D$23,2,0))</f>
        <v>0.15</v>
      </c>
      <c r="AX53" s="225"/>
      <c r="AY53" s="242">
        <f t="shared" si="81"/>
        <v>0</v>
      </c>
      <c r="AZ53" s="241"/>
      <c r="BA53" s="241"/>
      <c r="BB53" s="241"/>
      <c r="BC53" s="242">
        <f t="shared" si="82"/>
        <v>0</v>
      </c>
      <c r="BD53" s="251"/>
      <c r="BE53" s="239">
        <f t="shared" si="85"/>
        <v>2624</v>
      </c>
      <c r="BF53" s="275" t="str">
        <f t="shared" si="66"/>
        <v>扣除15%残值</v>
      </c>
    </row>
    <row r="54" s="156" customFormat="1" ht="22.15" customHeight="1" spans="1:58">
      <c r="A54" s="182">
        <f>设备类勘察表!A52</f>
        <v>48</v>
      </c>
      <c r="B54" s="182" t="str">
        <f>设备类勘察表!B52</f>
        <v>办公楼-G电缆线</v>
      </c>
      <c r="C54" s="182" t="str">
        <f>设备类勘察表!C52</f>
        <v>3*50+35</v>
      </c>
      <c r="D54" s="182">
        <f>设备类勘察表!D52</f>
        <v>0</v>
      </c>
      <c r="E54" s="182" t="str">
        <f>设备类勘察表!G52</f>
        <v>米</v>
      </c>
      <c r="F54" s="182">
        <f>设备类勘察表!F52</f>
        <v>30</v>
      </c>
      <c r="G54" s="183" t="s">
        <v>230</v>
      </c>
      <c r="H54" s="184">
        <f t="shared" si="88"/>
        <v>4320</v>
      </c>
      <c r="I54" s="199">
        <f t="shared" si="54"/>
        <v>0.6</v>
      </c>
      <c r="J54" s="199">
        <f t="shared" si="55"/>
        <v>0.15</v>
      </c>
      <c r="K54" s="200">
        <f t="shared" si="68"/>
        <v>1944</v>
      </c>
      <c r="L54" s="182">
        <f t="shared" si="69"/>
        <v>0</v>
      </c>
      <c r="M54" s="182">
        <f t="shared" si="70"/>
        <v>0</v>
      </c>
      <c r="N54" s="182">
        <f t="shared" si="71"/>
        <v>0</v>
      </c>
      <c r="O54" s="182">
        <f t="shared" si="72"/>
        <v>0</v>
      </c>
      <c r="P54" s="182">
        <f t="shared" si="73"/>
        <v>0</v>
      </c>
      <c r="Q54" s="223">
        <f t="shared" si="74"/>
        <v>1944</v>
      </c>
      <c r="R54" s="224" t="str">
        <f t="shared" si="75"/>
        <v>扣除15%残值</v>
      </c>
      <c r="S54" s="224"/>
      <c r="T54" s="202"/>
      <c r="U54" s="225">
        <v>144</v>
      </c>
      <c r="V54" s="225"/>
      <c r="W54" s="227"/>
      <c r="X54" s="227"/>
      <c r="Y54" s="227"/>
      <c r="Z54" s="227"/>
      <c r="AA54" s="227"/>
      <c r="AB54" s="239">
        <f t="shared" si="77"/>
        <v>4320</v>
      </c>
      <c r="AC54" s="240" t="str">
        <f>设备类勘察表!E52</f>
        <v>2006年1月</v>
      </c>
      <c r="AD54" s="241"/>
      <c r="AE54" s="242">
        <f>IF(AD54=0,0,IF(G54="否",ROUND((设定!$C$4-机器设备及辅助设施评估明细表!AC54)/365,2),0))</f>
        <v>0</v>
      </c>
      <c r="AF54" s="242">
        <f t="shared" si="16"/>
        <v>0</v>
      </c>
      <c r="AG54" s="249">
        <f t="shared" si="17"/>
        <v>0</v>
      </c>
      <c r="AH54" s="249" t="s">
        <v>390</v>
      </c>
      <c r="AI54" s="250"/>
      <c r="AJ54" s="251" t="s">
        <v>275</v>
      </c>
      <c r="AK54" s="242">
        <f>IF(AH54="年限法",0,IF(AJ54=0,0,VLOOKUP(AJ54,成新率说明!$H$3:$I$6,2,0)))</f>
        <v>12</v>
      </c>
      <c r="AL54" s="251" t="s">
        <v>275</v>
      </c>
      <c r="AM54" s="242">
        <f>IF(AL54="",0,VLOOKUP(AL54,成新率说明!$H$7:$I$11,2,0))</f>
        <v>30</v>
      </c>
      <c r="AN54" s="251" t="s">
        <v>275</v>
      </c>
      <c r="AO54" s="242">
        <f>IF(AH54="年限法",0,IF(AN54=0,0,VLOOKUP(AN54,成新率说明!$H$12:$I$15,2,0)))</f>
        <v>18</v>
      </c>
      <c r="AP54" s="264">
        <f t="shared" si="78"/>
        <v>60</v>
      </c>
      <c r="AQ54" s="250">
        <f t="shared" si="79"/>
        <v>0.6</v>
      </c>
      <c r="AR54" s="251"/>
      <c r="AS54" s="251"/>
      <c r="AT54" s="265">
        <f t="shared" si="80"/>
        <v>0.6</v>
      </c>
      <c r="AU54" s="239">
        <f t="shared" si="87"/>
        <v>1944</v>
      </c>
      <c r="AV54" s="227" t="s">
        <v>395</v>
      </c>
      <c r="AW54" s="272">
        <f>IF(AV54="",0,VLOOKUP(AV54,残值率参考表!$C$4:$D$23,2,0))</f>
        <v>0.15</v>
      </c>
      <c r="AX54" s="225"/>
      <c r="AY54" s="242">
        <f t="shared" si="81"/>
        <v>0</v>
      </c>
      <c r="AZ54" s="241"/>
      <c r="BA54" s="241"/>
      <c r="BB54" s="241"/>
      <c r="BC54" s="242">
        <f t="shared" si="82"/>
        <v>0</v>
      </c>
      <c r="BD54" s="251"/>
      <c r="BE54" s="239">
        <f t="shared" si="85"/>
        <v>1944</v>
      </c>
      <c r="BF54" s="275" t="str">
        <f t="shared" si="66"/>
        <v>扣除15%残值</v>
      </c>
    </row>
    <row r="55" s="156" customFormat="1" ht="22.15" customHeight="1" spans="1:58">
      <c r="A55" s="182">
        <f>设备类勘察表!A53</f>
        <v>49</v>
      </c>
      <c r="B55" s="182" t="str">
        <f>设备类勘察表!B53</f>
        <v>分剪机-H电缆线</v>
      </c>
      <c r="C55" s="182" t="str">
        <f>设备类勘察表!C53</f>
        <v>3*70+35</v>
      </c>
      <c r="D55" s="182">
        <f>设备类勘察表!D53</f>
        <v>0</v>
      </c>
      <c r="E55" s="182" t="str">
        <f>设备类勘察表!G53</f>
        <v>米</v>
      </c>
      <c r="F55" s="182">
        <f>设备类勘察表!F53</f>
        <v>30</v>
      </c>
      <c r="G55" s="183" t="s">
        <v>230</v>
      </c>
      <c r="H55" s="184">
        <f t="shared" si="88"/>
        <v>6180</v>
      </c>
      <c r="I55" s="199">
        <f t="shared" si="54"/>
        <v>0.6</v>
      </c>
      <c r="J55" s="199">
        <f t="shared" si="55"/>
        <v>0.15</v>
      </c>
      <c r="K55" s="200">
        <f t="shared" si="68"/>
        <v>2781</v>
      </c>
      <c r="L55" s="182">
        <f t="shared" si="69"/>
        <v>0</v>
      </c>
      <c r="M55" s="182">
        <f t="shared" si="70"/>
        <v>0</v>
      </c>
      <c r="N55" s="182">
        <f t="shared" si="71"/>
        <v>0</v>
      </c>
      <c r="O55" s="182">
        <f t="shared" si="72"/>
        <v>0</v>
      </c>
      <c r="P55" s="182">
        <f t="shared" si="73"/>
        <v>0</v>
      </c>
      <c r="Q55" s="223">
        <f t="shared" si="74"/>
        <v>2781</v>
      </c>
      <c r="R55" s="224" t="str">
        <f t="shared" si="75"/>
        <v>扣除15%残值</v>
      </c>
      <c r="S55" s="224"/>
      <c r="T55" s="202"/>
      <c r="U55" s="225">
        <v>206</v>
      </c>
      <c r="V55" s="225"/>
      <c r="W55" s="227"/>
      <c r="X55" s="227"/>
      <c r="Y55" s="227"/>
      <c r="Z55" s="227"/>
      <c r="AA55" s="227"/>
      <c r="AB55" s="239">
        <f t="shared" si="77"/>
        <v>6180</v>
      </c>
      <c r="AC55" s="240" t="str">
        <f>设备类勘察表!E53</f>
        <v>2006年1月</v>
      </c>
      <c r="AD55" s="241"/>
      <c r="AE55" s="242">
        <f>IF(AD55=0,0,IF(G55="否",ROUND((设定!$C$4-机器设备及辅助设施评估明细表!AC55)/365,2),0))</f>
        <v>0</v>
      </c>
      <c r="AF55" s="242">
        <f t="shared" si="16"/>
        <v>0</v>
      </c>
      <c r="AG55" s="249">
        <f t="shared" si="17"/>
        <v>0</v>
      </c>
      <c r="AH55" s="249" t="s">
        <v>390</v>
      </c>
      <c r="AI55" s="250"/>
      <c r="AJ55" s="251" t="s">
        <v>275</v>
      </c>
      <c r="AK55" s="242">
        <f>IF(AH55="年限法",0,IF(AJ55=0,0,VLOOKUP(AJ55,成新率说明!$H$3:$I$6,2,0)))</f>
        <v>12</v>
      </c>
      <c r="AL55" s="251" t="s">
        <v>275</v>
      </c>
      <c r="AM55" s="242">
        <f>IF(AL55="",0,VLOOKUP(AL55,成新率说明!$H$7:$I$11,2,0))</f>
        <v>30</v>
      </c>
      <c r="AN55" s="251" t="s">
        <v>275</v>
      </c>
      <c r="AO55" s="242">
        <f>IF(AH55="年限法",0,IF(AN55=0,0,VLOOKUP(AN55,成新率说明!$H$12:$I$15,2,0)))</f>
        <v>18</v>
      </c>
      <c r="AP55" s="264">
        <f t="shared" si="78"/>
        <v>60</v>
      </c>
      <c r="AQ55" s="250">
        <f t="shared" si="79"/>
        <v>0.6</v>
      </c>
      <c r="AR55" s="251"/>
      <c r="AS55" s="251"/>
      <c r="AT55" s="265">
        <f t="shared" si="80"/>
        <v>0.6</v>
      </c>
      <c r="AU55" s="239">
        <f t="shared" si="87"/>
        <v>2781</v>
      </c>
      <c r="AV55" s="227" t="s">
        <v>395</v>
      </c>
      <c r="AW55" s="272">
        <f>IF(AV55="",0,VLOOKUP(AV55,残值率参考表!$C$4:$D$23,2,0))</f>
        <v>0.15</v>
      </c>
      <c r="AX55" s="225"/>
      <c r="AY55" s="242">
        <f t="shared" si="81"/>
        <v>0</v>
      </c>
      <c r="AZ55" s="241"/>
      <c r="BA55" s="241"/>
      <c r="BB55" s="241"/>
      <c r="BC55" s="242">
        <f t="shared" si="82"/>
        <v>0</v>
      </c>
      <c r="BD55" s="251"/>
      <c r="BE55" s="239">
        <f t="shared" si="85"/>
        <v>2781</v>
      </c>
      <c r="BF55" s="275" t="str">
        <f t="shared" si="66"/>
        <v>扣除15%残值</v>
      </c>
    </row>
    <row r="56" s="156" customFormat="1" ht="22.15" customHeight="1" spans="1:58">
      <c r="A56" s="182">
        <f>设备类勘察表!A54</f>
        <v>50</v>
      </c>
      <c r="B56" s="182" t="str">
        <f>设备类勘察表!B54</f>
        <v>空压机电缆线</v>
      </c>
      <c r="C56" s="182" t="str">
        <f>设备类勘察表!C54</f>
        <v>3*16+6</v>
      </c>
      <c r="D56" s="182">
        <f>设备类勘察表!D54</f>
        <v>0</v>
      </c>
      <c r="E56" s="182" t="str">
        <f>设备类勘察表!G54</f>
        <v>米</v>
      </c>
      <c r="F56" s="182">
        <f>设备类勘察表!F54</f>
        <v>112</v>
      </c>
      <c r="G56" s="183" t="s">
        <v>230</v>
      </c>
      <c r="H56" s="184">
        <f t="shared" si="88"/>
        <v>5936</v>
      </c>
      <c r="I56" s="199">
        <f t="shared" si="54"/>
        <v>0.6</v>
      </c>
      <c r="J56" s="199">
        <f t="shared" si="55"/>
        <v>0.15</v>
      </c>
      <c r="K56" s="200">
        <f t="shared" si="68"/>
        <v>2671</v>
      </c>
      <c r="L56" s="182">
        <f t="shared" si="69"/>
        <v>0</v>
      </c>
      <c r="M56" s="182">
        <f t="shared" si="70"/>
        <v>0</v>
      </c>
      <c r="N56" s="182">
        <f t="shared" si="71"/>
        <v>0</v>
      </c>
      <c r="O56" s="182">
        <f t="shared" si="72"/>
        <v>0</v>
      </c>
      <c r="P56" s="182">
        <f t="shared" si="73"/>
        <v>0</v>
      </c>
      <c r="Q56" s="223">
        <f t="shared" si="74"/>
        <v>2671</v>
      </c>
      <c r="R56" s="224" t="str">
        <f t="shared" si="75"/>
        <v>扣除15%残值</v>
      </c>
      <c r="S56" s="224"/>
      <c r="T56" s="202"/>
      <c r="U56" s="225">
        <v>53</v>
      </c>
      <c r="V56" s="225"/>
      <c r="W56" s="227"/>
      <c r="X56" s="227"/>
      <c r="Y56" s="227"/>
      <c r="Z56" s="227"/>
      <c r="AA56" s="227"/>
      <c r="AB56" s="239">
        <f t="shared" si="77"/>
        <v>5936</v>
      </c>
      <c r="AC56" s="240" t="str">
        <f>设备类勘察表!E54</f>
        <v>2006年1月</v>
      </c>
      <c r="AD56" s="241"/>
      <c r="AE56" s="242">
        <f>IF(AD56=0,0,IF(G56="否",ROUND((设定!$C$4-机器设备及辅助设施评估明细表!AC56)/365,2),0))</f>
        <v>0</v>
      </c>
      <c r="AF56" s="242">
        <f t="shared" si="16"/>
        <v>0</v>
      </c>
      <c r="AG56" s="249">
        <f t="shared" si="17"/>
        <v>0</v>
      </c>
      <c r="AH56" s="249" t="s">
        <v>390</v>
      </c>
      <c r="AI56" s="250"/>
      <c r="AJ56" s="251" t="s">
        <v>275</v>
      </c>
      <c r="AK56" s="242">
        <f>IF(AH56="年限法",0,IF(AJ56=0,0,VLOOKUP(AJ56,成新率说明!$H$3:$I$6,2,0)))</f>
        <v>12</v>
      </c>
      <c r="AL56" s="251" t="s">
        <v>275</v>
      </c>
      <c r="AM56" s="242">
        <f>IF(AL56="",0,VLOOKUP(AL56,成新率说明!$H$7:$I$11,2,0))</f>
        <v>30</v>
      </c>
      <c r="AN56" s="251" t="s">
        <v>275</v>
      </c>
      <c r="AO56" s="242">
        <f>IF(AH56="年限法",0,IF(AN56=0,0,VLOOKUP(AN56,成新率说明!$H$12:$I$15,2,0)))</f>
        <v>18</v>
      </c>
      <c r="AP56" s="264">
        <f t="shared" si="78"/>
        <v>60</v>
      </c>
      <c r="AQ56" s="250">
        <f t="shared" si="79"/>
        <v>0.6</v>
      </c>
      <c r="AR56" s="251"/>
      <c r="AS56" s="251"/>
      <c r="AT56" s="265">
        <f t="shared" si="80"/>
        <v>0.6</v>
      </c>
      <c r="AU56" s="239">
        <f t="shared" si="87"/>
        <v>2671</v>
      </c>
      <c r="AV56" s="227" t="s">
        <v>395</v>
      </c>
      <c r="AW56" s="272">
        <f>IF(AV56="",0,VLOOKUP(AV56,残值率参考表!$C$4:$D$23,2,0))</f>
        <v>0.15</v>
      </c>
      <c r="AX56" s="225"/>
      <c r="AY56" s="242">
        <f t="shared" si="81"/>
        <v>0</v>
      </c>
      <c r="AZ56" s="241"/>
      <c r="BA56" s="241"/>
      <c r="BB56" s="241"/>
      <c r="BC56" s="242">
        <f t="shared" si="82"/>
        <v>0</v>
      </c>
      <c r="BD56" s="251"/>
      <c r="BE56" s="239">
        <f t="shared" si="85"/>
        <v>2671</v>
      </c>
      <c r="BF56" s="275" t="str">
        <f t="shared" si="66"/>
        <v>扣除15%残值</v>
      </c>
    </row>
    <row r="57" s="156" customFormat="1" ht="22.15" customHeight="1" spans="1:58">
      <c r="A57" s="182">
        <f>设备类勘察表!A55</f>
        <v>51</v>
      </c>
      <c r="B57" s="182" t="str">
        <f>设备类勘察表!B55</f>
        <v>空压机电缆线</v>
      </c>
      <c r="C57" s="182" t="str">
        <f>设备类勘察表!C55</f>
        <v>3*10+4</v>
      </c>
      <c r="D57" s="182">
        <f>设备类勘察表!D55</f>
        <v>0</v>
      </c>
      <c r="E57" s="182" t="str">
        <f>设备类勘察表!G55</f>
        <v>米</v>
      </c>
      <c r="F57" s="182">
        <f>设备类勘察表!F55</f>
        <v>112</v>
      </c>
      <c r="G57" s="183" t="s">
        <v>230</v>
      </c>
      <c r="H57" s="184">
        <f t="shared" si="88"/>
        <v>4032</v>
      </c>
      <c r="I57" s="199">
        <f t="shared" si="54"/>
        <v>0.6</v>
      </c>
      <c r="J57" s="199">
        <f t="shared" si="55"/>
        <v>0.15</v>
      </c>
      <c r="K57" s="200">
        <f t="shared" si="68"/>
        <v>1814</v>
      </c>
      <c r="L57" s="182">
        <f t="shared" si="69"/>
        <v>0</v>
      </c>
      <c r="M57" s="182">
        <f t="shared" si="70"/>
        <v>0</v>
      </c>
      <c r="N57" s="182">
        <f t="shared" si="71"/>
        <v>0</v>
      </c>
      <c r="O57" s="182">
        <f t="shared" si="72"/>
        <v>0</v>
      </c>
      <c r="P57" s="182">
        <f t="shared" si="73"/>
        <v>0</v>
      </c>
      <c r="Q57" s="223">
        <f t="shared" si="74"/>
        <v>1814</v>
      </c>
      <c r="R57" s="224" t="str">
        <f t="shared" si="75"/>
        <v>扣除15%残值</v>
      </c>
      <c r="S57" s="224"/>
      <c r="T57" s="202"/>
      <c r="U57" s="225">
        <v>36</v>
      </c>
      <c r="V57" s="226"/>
      <c r="W57" s="227"/>
      <c r="X57" s="227"/>
      <c r="Y57" s="227"/>
      <c r="Z57" s="227"/>
      <c r="AA57" s="227"/>
      <c r="AB57" s="239">
        <f t="shared" si="77"/>
        <v>4032</v>
      </c>
      <c r="AC57" s="240" t="str">
        <f>设备类勘察表!E55</f>
        <v>2006年1月</v>
      </c>
      <c r="AD57" s="241"/>
      <c r="AE57" s="242">
        <f>IF(AD57=0,0,IF(G57="否",ROUND((设定!$C$4-机器设备及辅助设施评估明细表!AC57)/365,2),0))</f>
        <v>0</v>
      </c>
      <c r="AF57" s="242">
        <f t="shared" si="16"/>
        <v>0</v>
      </c>
      <c r="AG57" s="249">
        <f t="shared" si="17"/>
        <v>0</v>
      </c>
      <c r="AH57" s="249" t="s">
        <v>390</v>
      </c>
      <c r="AI57" s="250"/>
      <c r="AJ57" s="251" t="s">
        <v>275</v>
      </c>
      <c r="AK57" s="242">
        <f>IF(AH57="年限法",0,IF(AJ57=0,0,VLOOKUP(AJ57,成新率说明!$H$3:$I$6,2,0)))</f>
        <v>12</v>
      </c>
      <c r="AL57" s="251" t="s">
        <v>275</v>
      </c>
      <c r="AM57" s="242">
        <f>IF(AL57="",0,VLOOKUP(AL57,成新率说明!$H$7:$I$11,2,0))</f>
        <v>30</v>
      </c>
      <c r="AN57" s="251" t="s">
        <v>275</v>
      </c>
      <c r="AO57" s="242">
        <f>IF(AH57="年限法",0,IF(AN57=0,0,VLOOKUP(AN57,成新率说明!$H$12:$I$15,2,0)))</f>
        <v>18</v>
      </c>
      <c r="AP57" s="264">
        <f t="shared" si="78"/>
        <v>60</v>
      </c>
      <c r="AQ57" s="250">
        <f t="shared" si="79"/>
        <v>0.6</v>
      </c>
      <c r="AR57" s="251"/>
      <c r="AS57" s="251"/>
      <c r="AT57" s="265">
        <f t="shared" si="80"/>
        <v>0.6</v>
      </c>
      <c r="AU57" s="239">
        <f t="shared" si="87"/>
        <v>1814</v>
      </c>
      <c r="AV57" s="227" t="s">
        <v>395</v>
      </c>
      <c r="AW57" s="272">
        <f>IF(AV57="",0,VLOOKUP(AV57,残值率参考表!$C$4:$D$23,2,0))</f>
        <v>0.15</v>
      </c>
      <c r="AX57" s="225"/>
      <c r="AY57" s="242">
        <f t="shared" si="81"/>
        <v>0</v>
      </c>
      <c r="AZ57" s="241"/>
      <c r="BA57" s="241"/>
      <c r="BB57" s="241"/>
      <c r="BC57" s="242">
        <f t="shared" si="82"/>
        <v>0</v>
      </c>
      <c r="BD57" s="251"/>
      <c r="BE57" s="239">
        <f t="shared" si="85"/>
        <v>1814</v>
      </c>
      <c r="BF57" s="275" t="str">
        <f t="shared" si="66"/>
        <v>扣除15%残值</v>
      </c>
    </row>
    <row r="58" s="156" customFormat="1" ht="22.15" customHeight="1" spans="1:58">
      <c r="A58" s="182">
        <f>设备类勘察表!A56</f>
        <v>52</v>
      </c>
      <c r="B58" s="182" t="str">
        <f>设备类勘察表!B56</f>
        <v>变电柜-墙面配电箱电缆线</v>
      </c>
      <c r="C58" s="182" t="str">
        <f>设备类勘察表!C56</f>
        <v>3*16+6</v>
      </c>
      <c r="D58" s="182">
        <f>设备类勘察表!D56</f>
        <v>0</v>
      </c>
      <c r="E58" s="182" t="str">
        <f>设备类勘察表!G56</f>
        <v>米</v>
      </c>
      <c r="F58" s="182">
        <f>设备类勘察表!F56</f>
        <v>30</v>
      </c>
      <c r="G58" s="183" t="s">
        <v>230</v>
      </c>
      <c r="H58" s="184">
        <f t="shared" si="88"/>
        <v>1590</v>
      </c>
      <c r="I58" s="199">
        <f t="shared" si="54"/>
        <v>0.6</v>
      </c>
      <c r="J58" s="199">
        <f t="shared" si="55"/>
        <v>0.15</v>
      </c>
      <c r="K58" s="200">
        <f t="shared" si="68"/>
        <v>716</v>
      </c>
      <c r="L58" s="182">
        <f t="shared" si="69"/>
        <v>0</v>
      </c>
      <c r="M58" s="182">
        <f t="shared" si="70"/>
        <v>0</v>
      </c>
      <c r="N58" s="182">
        <f t="shared" si="71"/>
        <v>0</v>
      </c>
      <c r="O58" s="182">
        <f t="shared" si="72"/>
        <v>0</v>
      </c>
      <c r="P58" s="182">
        <f t="shared" si="73"/>
        <v>0</v>
      </c>
      <c r="Q58" s="223">
        <f t="shared" si="74"/>
        <v>716</v>
      </c>
      <c r="R58" s="224" t="str">
        <f t="shared" si="75"/>
        <v>扣除15%残值</v>
      </c>
      <c r="S58" s="224"/>
      <c r="T58" s="202"/>
      <c r="U58" s="225">
        <v>53</v>
      </c>
      <c r="V58" s="225"/>
      <c r="W58" s="227"/>
      <c r="X58" s="227"/>
      <c r="Y58" s="227"/>
      <c r="Z58" s="227"/>
      <c r="AA58" s="227"/>
      <c r="AB58" s="239">
        <f t="shared" si="77"/>
        <v>1590</v>
      </c>
      <c r="AC58" s="240" t="str">
        <f>设备类勘察表!E56</f>
        <v>2006年1月</v>
      </c>
      <c r="AD58" s="241"/>
      <c r="AE58" s="242">
        <f>IF(AD58=0,0,IF(G58="否",ROUND((设定!$C$4-机器设备及辅助设施评估明细表!AC58)/365,2),0))</f>
        <v>0</v>
      </c>
      <c r="AF58" s="242">
        <f t="shared" si="16"/>
        <v>0</v>
      </c>
      <c r="AG58" s="249">
        <f t="shared" si="17"/>
        <v>0</v>
      </c>
      <c r="AH58" s="249" t="s">
        <v>390</v>
      </c>
      <c r="AI58" s="250"/>
      <c r="AJ58" s="251" t="s">
        <v>275</v>
      </c>
      <c r="AK58" s="242">
        <f>IF(AH58="年限法",0,IF(AJ58=0,0,VLOOKUP(AJ58,成新率说明!$H$3:$I$6,2,0)))</f>
        <v>12</v>
      </c>
      <c r="AL58" s="251" t="s">
        <v>275</v>
      </c>
      <c r="AM58" s="242">
        <f>IF(AL58="",0,VLOOKUP(AL58,成新率说明!$H$7:$I$11,2,0))</f>
        <v>30</v>
      </c>
      <c r="AN58" s="251" t="s">
        <v>275</v>
      </c>
      <c r="AO58" s="242">
        <f>IF(AH58="年限法",0,IF(AN58=0,0,VLOOKUP(AN58,成新率说明!$H$12:$I$15,2,0)))</f>
        <v>18</v>
      </c>
      <c r="AP58" s="264">
        <f t="shared" si="78"/>
        <v>60</v>
      </c>
      <c r="AQ58" s="250">
        <f t="shared" si="79"/>
        <v>0.6</v>
      </c>
      <c r="AR58" s="251"/>
      <c r="AS58" s="251"/>
      <c r="AT58" s="265">
        <f t="shared" si="80"/>
        <v>0.6</v>
      </c>
      <c r="AU58" s="239">
        <f t="shared" si="87"/>
        <v>716</v>
      </c>
      <c r="AV58" s="227" t="s">
        <v>395</v>
      </c>
      <c r="AW58" s="272">
        <f>IF(AV58="",0,VLOOKUP(AV58,残值率参考表!$C$4:$D$23,2,0))</f>
        <v>0.15</v>
      </c>
      <c r="AX58" s="225"/>
      <c r="AY58" s="242">
        <f t="shared" si="81"/>
        <v>0</v>
      </c>
      <c r="AZ58" s="241"/>
      <c r="BA58" s="241"/>
      <c r="BB58" s="241"/>
      <c r="BC58" s="242">
        <f t="shared" si="82"/>
        <v>0</v>
      </c>
      <c r="BD58" s="251"/>
      <c r="BE58" s="239">
        <f t="shared" si="85"/>
        <v>716</v>
      </c>
      <c r="BF58" s="275" t="str">
        <f t="shared" si="66"/>
        <v>扣除15%残值</v>
      </c>
    </row>
    <row r="59" s="156" customFormat="1" ht="22.15" customHeight="1" spans="1:58">
      <c r="A59" s="182">
        <f>设备类勘察表!A57</f>
        <v>53</v>
      </c>
      <c r="B59" s="182" t="str">
        <f>设备类勘察表!B57</f>
        <v>变电站变压器（含配电柜）</v>
      </c>
      <c r="C59" s="182" t="str">
        <f>设备类勘察表!C57</f>
        <v>800KAV</v>
      </c>
      <c r="D59" s="182">
        <f>设备类勘察表!D57</f>
        <v>0</v>
      </c>
      <c r="E59" s="182" t="str">
        <f>设备类勘察表!G57</f>
        <v>只</v>
      </c>
      <c r="F59" s="182">
        <f>设备类勘察表!F57</f>
        <v>1</v>
      </c>
      <c r="G59" s="183" t="s">
        <v>230</v>
      </c>
      <c r="H59" s="184">
        <f t="shared" si="88"/>
        <v>640000</v>
      </c>
      <c r="I59" s="199">
        <f t="shared" si="54"/>
        <v>0.6</v>
      </c>
      <c r="J59" s="199">
        <f t="shared" si="55"/>
        <v>0.1</v>
      </c>
      <c r="K59" s="200">
        <f t="shared" si="68"/>
        <v>3840</v>
      </c>
      <c r="L59" s="182">
        <f t="shared" si="69"/>
        <v>0</v>
      </c>
      <c r="M59" s="182">
        <f t="shared" si="70"/>
        <v>0</v>
      </c>
      <c r="N59" s="182">
        <f t="shared" si="71"/>
        <v>0</v>
      </c>
      <c r="O59" s="182">
        <f t="shared" si="72"/>
        <v>0</v>
      </c>
      <c r="P59" s="182">
        <f t="shared" si="73"/>
        <v>0</v>
      </c>
      <c r="Q59" s="223">
        <f t="shared" si="74"/>
        <v>320000</v>
      </c>
      <c r="R59" s="224" t="str">
        <f t="shared" si="75"/>
        <v>扣除10%残值</v>
      </c>
      <c r="S59" s="230" t="s">
        <v>396</v>
      </c>
      <c r="T59" s="202"/>
      <c r="U59" s="225">
        <f>800*800</f>
        <v>640000</v>
      </c>
      <c r="V59" s="225"/>
      <c r="W59" s="227"/>
      <c r="X59" s="227"/>
      <c r="Y59" s="227"/>
      <c r="Z59" s="227"/>
      <c r="AA59" s="227"/>
      <c r="AB59" s="239">
        <f t="shared" si="77"/>
        <v>640000</v>
      </c>
      <c r="AC59" s="240" t="str">
        <f>设备类勘察表!E57</f>
        <v>2005年1月</v>
      </c>
      <c r="AD59" s="241"/>
      <c r="AE59" s="242">
        <f>IF(AD59=0,0,IF(G59="否",ROUND((设定!$C$4-机器设备及辅助设施评估明细表!AC59)/365,2),0))</f>
        <v>0</v>
      </c>
      <c r="AF59" s="242">
        <f t="shared" si="16"/>
        <v>0</v>
      </c>
      <c r="AG59" s="249">
        <f t="shared" si="17"/>
        <v>0</v>
      </c>
      <c r="AH59" s="249" t="s">
        <v>390</v>
      </c>
      <c r="AI59" s="250"/>
      <c r="AJ59" s="251" t="s">
        <v>275</v>
      </c>
      <c r="AK59" s="242">
        <f>IF(AJ59="",0,VLOOKUP(AJ59,成新率说明!$H$3:$I$6,2,0))</f>
        <v>12</v>
      </c>
      <c r="AL59" s="251" t="s">
        <v>275</v>
      </c>
      <c r="AM59" s="242">
        <f>IF(AL59="",0,VLOOKUP(AL59,成新率说明!$H$7:$I$11,2,0))</f>
        <v>30</v>
      </c>
      <c r="AN59" s="251" t="s">
        <v>275</v>
      </c>
      <c r="AO59" s="242">
        <f>IF(AN59="",0,VLOOKUP(AN59,成新率说明!$H$12:$I$15,2,0))</f>
        <v>18</v>
      </c>
      <c r="AP59" s="242">
        <f t="shared" si="78"/>
        <v>60</v>
      </c>
      <c r="AQ59" s="250">
        <f t="shared" si="79"/>
        <v>0.6</v>
      </c>
      <c r="AR59" s="251"/>
      <c r="AS59" s="251"/>
      <c r="AT59" s="265">
        <f t="shared" si="80"/>
        <v>0.6</v>
      </c>
      <c r="AU59" s="239">
        <f t="shared" ref="AU59:AU64" si="89">ROUND(AB59*AT59/100,0)</f>
        <v>3840</v>
      </c>
      <c r="AV59" s="227" t="s">
        <v>397</v>
      </c>
      <c r="AW59" s="272">
        <f>IF(AV59="",0,VLOOKUP(AV59,残值率参考表!$C$4:$D$23,2,0))</f>
        <v>0.1</v>
      </c>
      <c r="AX59" s="225"/>
      <c r="AY59" s="242">
        <f t="shared" si="81"/>
        <v>0</v>
      </c>
      <c r="AZ59" s="241"/>
      <c r="BA59" s="241"/>
      <c r="BB59" s="241"/>
      <c r="BC59" s="242">
        <f t="shared" si="82"/>
        <v>0</v>
      </c>
      <c r="BD59" s="251"/>
      <c r="BE59" s="239">
        <f t="shared" si="85"/>
        <v>320000</v>
      </c>
      <c r="BF59" s="275" t="str">
        <f t="shared" si="66"/>
        <v>扣除10%残值</v>
      </c>
    </row>
    <row r="60" s="156" customFormat="1" ht="22.15" customHeight="1" spans="1:58">
      <c r="A60" s="182">
        <f>设备类勘察表!A58</f>
        <v>54</v>
      </c>
      <c r="B60" s="182" t="str">
        <f>设备类勘察表!B58</f>
        <v>变电站变压器（含配电柜）</v>
      </c>
      <c r="C60" s="182" t="str">
        <f>设备类勘察表!C58</f>
        <v>800KAV</v>
      </c>
      <c r="D60" s="182">
        <f>设备类勘察表!D58</f>
        <v>0</v>
      </c>
      <c r="E60" s="182" t="str">
        <f>设备类勘察表!G58</f>
        <v>只</v>
      </c>
      <c r="F60" s="182">
        <f>设备类勘察表!F58</f>
        <v>1</v>
      </c>
      <c r="G60" s="183" t="s">
        <v>230</v>
      </c>
      <c r="H60" s="184">
        <f t="shared" si="88"/>
        <v>640000</v>
      </c>
      <c r="I60" s="199">
        <f t="shared" si="54"/>
        <v>0.6</v>
      </c>
      <c r="J60" s="199">
        <f t="shared" si="55"/>
        <v>0.1</v>
      </c>
      <c r="K60" s="200">
        <f t="shared" si="68"/>
        <v>3840</v>
      </c>
      <c r="L60" s="182">
        <f t="shared" si="69"/>
        <v>0</v>
      </c>
      <c r="M60" s="182">
        <f t="shared" si="70"/>
        <v>0</v>
      </c>
      <c r="N60" s="182">
        <f t="shared" si="71"/>
        <v>0</v>
      </c>
      <c r="O60" s="182">
        <f t="shared" si="72"/>
        <v>0</v>
      </c>
      <c r="P60" s="182">
        <f t="shared" si="73"/>
        <v>0</v>
      </c>
      <c r="Q60" s="223">
        <f t="shared" si="74"/>
        <v>320000</v>
      </c>
      <c r="R60" s="224" t="str">
        <f t="shared" si="75"/>
        <v>扣除10%残值</v>
      </c>
      <c r="S60" s="230"/>
      <c r="T60" s="202"/>
      <c r="U60" s="225">
        <f>800*800</f>
        <v>640000</v>
      </c>
      <c r="V60" s="225"/>
      <c r="W60" s="227"/>
      <c r="X60" s="227"/>
      <c r="Y60" s="227"/>
      <c r="Z60" s="227"/>
      <c r="AA60" s="227"/>
      <c r="AB60" s="239">
        <f t="shared" si="77"/>
        <v>640000</v>
      </c>
      <c r="AC60" s="240" t="str">
        <f>设备类勘察表!E58</f>
        <v>2006年1月</v>
      </c>
      <c r="AD60" s="241"/>
      <c r="AE60" s="242"/>
      <c r="AF60" s="242"/>
      <c r="AG60" s="249"/>
      <c r="AH60" s="249" t="s">
        <v>390</v>
      </c>
      <c r="AI60" s="250"/>
      <c r="AJ60" s="251" t="s">
        <v>275</v>
      </c>
      <c r="AK60" s="242">
        <f>IF(AJ60="",0,VLOOKUP(AJ60,成新率说明!$H$3:$I$6,2,0))</f>
        <v>12</v>
      </c>
      <c r="AL60" s="251" t="s">
        <v>275</v>
      </c>
      <c r="AM60" s="242">
        <f>IF(AL60="",0,VLOOKUP(AL60,成新率说明!$H$7:$I$11,2,0))</f>
        <v>30</v>
      </c>
      <c r="AN60" s="251" t="s">
        <v>275</v>
      </c>
      <c r="AO60" s="242">
        <f>IF(AN60="",0,VLOOKUP(AN60,成新率说明!$H$12:$I$15,2,0))</f>
        <v>18</v>
      </c>
      <c r="AP60" s="242">
        <f t="shared" si="78"/>
        <v>60</v>
      </c>
      <c r="AQ60" s="250">
        <f t="shared" si="79"/>
        <v>0.6</v>
      </c>
      <c r="AR60" s="251"/>
      <c r="AS60" s="251"/>
      <c r="AT60" s="265">
        <f t="shared" si="80"/>
        <v>0.6</v>
      </c>
      <c r="AU60" s="239">
        <f t="shared" si="89"/>
        <v>3840</v>
      </c>
      <c r="AV60" s="227" t="s">
        <v>397</v>
      </c>
      <c r="AW60" s="272">
        <f>IF(AV60="",0,VLOOKUP(AV60,残值率参考表!$C$4:$D$23,2,0))</f>
        <v>0.1</v>
      </c>
      <c r="AX60" s="225"/>
      <c r="AY60" s="242"/>
      <c r="AZ60" s="241"/>
      <c r="BA60" s="241"/>
      <c r="BB60" s="241"/>
      <c r="BC60" s="242"/>
      <c r="BD60" s="251"/>
      <c r="BE60" s="239">
        <f t="shared" si="85"/>
        <v>320000</v>
      </c>
      <c r="BF60" s="275" t="str">
        <f t="shared" si="66"/>
        <v>扣除10%残值</v>
      </c>
    </row>
    <row r="61" s="156" customFormat="1" ht="22.15" customHeight="1" spans="1:58">
      <c r="A61" s="182">
        <f>设备类勘察表!A59</f>
        <v>55</v>
      </c>
      <c r="B61" s="182" t="str">
        <f>设备类勘察表!B59</f>
        <v>变电站变压器（含配电柜）</v>
      </c>
      <c r="C61" s="182" t="str">
        <f>设备类勘察表!C59</f>
        <v>630KAV</v>
      </c>
      <c r="D61" s="182">
        <f>设备类勘察表!D59</f>
        <v>0</v>
      </c>
      <c r="E61" s="182" t="str">
        <f>设备类勘察表!G59</f>
        <v>只</v>
      </c>
      <c r="F61" s="182">
        <f>设备类勘察表!F59</f>
        <v>1</v>
      </c>
      <c r="G61" s="183" t="s">
        <v>230</v>
      </c>
      <c r="H61" s="184">
        <f t="shared" si="88"/>
        <v>504000</v>
      </c>
      <c r="I61" s="199">
        <f t="shared" si="54"/>
        <v>0.6</v>
      </c>
      <c r="J61" s="199">
        <f t="shared" si="55"/>
        <v>0.1</v>
      </c>
      <c r="K61" s="200">
        <f t="shared" si="68"/>
        <v>3024</v>
      </c>
      <c r="L61" s="182">
        <f t="shared" si="69"/>
        <v>0</v>
      </c>
      <c r="M61" s="182">
        <f t="shared" si="70"/>
        <v>0</v>
      </c>
      <c r="N61" s="182">
        <f t="shared" si="71"/>
        <v>0</v>
      </c>
      <c r="O61" s="182">
        <f t="shared" si="72"/>
        <v>0</v>
      </c>
      <c r="P61" s="182">
        <f t="shared" si="73"/>
        <v>0</v>
      </c>
      <c r="Q61" s="223">
        <f t="shared" si="74"/>
        <v>252000</v>
      </c>
      <c r="R61" s="224" t="str">
        <f t="shared" si="75"/>
        <v>扣除10%残值</v>
      </c>
      <c r="S61" s="230"/>
      <c r="T61" s="202"/>
      <c r="U61" s="225">
        <f>800*630</f>
        <v>504000</v>
      </c>
      <c r="V61" s="225"/>
      <c r="W61" s="227"/>
      <c r="X61" s="227"/>
      <c r="Y61" s="227"/>
      <c r="Z61" s="227"/>
      <c r="AA61" s="227"/>
      <c r="AB61" s="239">
        <f t="shared" si="77"/>
        <v>504000</v>
      </c>
      <c r="AC61" s="240" t="str">
        <f>设备类勘察表!E59</f>
        <v>2006年1月</v>
      </c>
      <c r="AD61" s="241"/>
      <c r="AE61" s="242">
        <f>IF(AD61=0,0,IF(G61="否",ROUND((设定!$C$4-机器设备及辅助设施评估明细表!AC61)/365,2),0))</f>
        <v>0</v>
      </c>
      <c r="AF61" s="242">
        <f t="shared" ref="AF61:AF83" si="90">IF(AE61=0,0,IF((AD61-AE61)&lt;2,2,(AD61-AE61)))</f>
        <v>0</v>
      </c>
      <c r="AG61" s="249">
        <f t="shared" ref="AG61:AG83" si="91">IF(AE61=0,0,ROUND(AF61/(AE61+AF61)*100,0))</f>
        <v>0</v>
      </c>
      <c r="AH61" s="249" t="s">
        <v>390</v>
      </c>
      <c r="AI61" s="250"/>
      <c r="AJ61" s="251" t="s">
        <v>275</v>
      </c>
      <c r="AK61" s="242">
        <f>IF(AJ61="",0,VLOOKUP(AJ61,成新率说明!$H$3:$I$6,2,0))</f>
        <v>12</v>
      </c>
      <c r="AL61" s="251" t="s">
        <v>275</v>
      </c>
      <c r="AM61" s="242">
        <f>IF(AL61="",0,VLOOKUP(AL61,成新率说明!$H$7:$I$11,2,0))</f>
        <v>30</v>
      </c>
      <c r="AN61" s="251" t="s">
        <v>275</v>
      </c>
      <c r="AO61" s="242">
        <f>IF(AN61="",0,VLOOKUP(AN61,成新率说明!$H$12:$I$15,2,0))</f>
        <v>18</v>
      </c>
      <c r="AP61" s="242">
        <f t="shared" si="78"/>
        <v>60</v>
      </c>
      <c r="AQ61" s="250">
        <f t="shared" si="79"/>
        <v>0.6</v>
      </c>
      <c r="AR61" s="251"/>
      <c r="AS61" s="251"/>
      <c r="AT61" s="265">
        <f t="shared" si="80"/>
        <v>0.6</v>
      </c>
      <c r="AU61" s="239">
        <f t="shared" si="89"/>
        <v>3024</v>
      </c>
      <c r="AV61" s="227" t="s">
        <v>397</v>
      </c>
      <c r="AW61" s="272">
        <f>IF(AV61="",0,VLOOKUP(AV61,残值率参考表!$C$4:$D$23,2,0))</f>
        <v>0.1</v>
      </c>
      <c r="AX61" s="225"/>
      <c r="AY61" s="242">
        <f>ROUND(BA61/2,1)</f>
        <v>0</v>
      </c>
      <c r="AZ61" s="241"/>
      <c r="BA61" s="241"/>
      <c r="BB61" s="241"/>
      <c r="BC61" s="242">
        <f t="shared" ref="BC61:BC67" si="92">AX61+AY61+AZ61+BA61+BB61</f>
        <v>0</v>
      </c>
      <c r="BD61" s="251"/>
      <c r="BE61" s="239">
        <f t="shared" si="85"/>
        <v>252000</v>
      </c>
      <c r="BF61" s="275" t="str">
        <f t="shared" si="66"/>
        <v>扣除10%残值</v>
      </c>
    </row>
    <row r="62" s="156" customFormat="1" ht="22.15" hidden="1" customHeight="1" spans="1:58">
      <c r="A62" s="182">
        <f>设备类勘察表!A60</f>
        <v>56</v>
      </c>
      <c r="B62" s="182" t="str">
        <f>设备类勘察表!B60</f>
        <v>车间配电柜</v>
      </c>
      <c r="C62" s="182">
        <f>设备类勘察表!C60</f>
        <v>0</v>
      </c>
      <c r="D62" s="182">
        <f>设备类勘察表!D60</f>
        <v>0</v>
      </c>
      <c r="E62" s="182" t="str">
        <f>设备类勘察表!G60</f>
        <v>门</v>
      </c>
      <c r="F62" s="182">
        <f>设备类勘察表!F60</f>
        <v>12</v>
      </c>
      <c r="G62" s="183" t="s">
        <v>343</v>
      </c>
      <c r="H62" s="184">
        <f t="shared" si="88"/>
        <v>90000</v>
      </c>
      <c r="I62" s="199">
        <f t="shared" ref="I62:I67" si="93">AT62</f>
        <v>0</v>
      </c>
      <c r="J62" s="199">
        <f t="shared" si="55"/>
        <v>0</v>
      </c>
      <c r="K62" s="200">
        <f t="shared" si="68"/>
        <v>0</v>
      </c>
      <c r="L62" s="182">
        <f t="shared" si="69"/>
        <v>5</v>
      </c>
      <c r="M62" s="182">
        <f t="shared" si="70"/>
        <v>1</v>
      </c>
      <c r="N62" s="182">
        <f t="shared" si="71"/>
        <v>10</v>
      </c>
      <c r="O62" s="182">
        <f t="shared" si="72"/>
        <v>0</v>
      </c>
      <c r="P62" s="182">
        <f t="shared" si="73"/>
        <v>16</v>
      </c>
      <c r="Q62" s="223">
        <f t="shared" si="74"/>
        <v>14400</v>
      </c>
      <c r="R62" s="224" t="str">
        <f t="shared" si="75"/>
        <v/>
      </c>
      <c r="S62" s="224"/>
      <c r="T62" s="202"/>
      <c r="U62" s="225">
        <v>7500</v>
      </c>
      <c r="V62" s="225"/>
      <c r="W62" s="227"/>
      <c r="X62" s="227"/>
      <c r="Y62" s="227"/>
      <c r="Z62" s="227"/>
      <c r="AA62" s="227"/>
      <c r="AB62" s="239">
        <f t="shared" si="77"/>
        <v>90000</v>
      </c>
      <c r="AC62" s="240" t="str">
        <f>设备类勘察表!E60</f>
        <v>2006年1月</v>
      </c>
      <c r="AD62" s="241"/>
      <c r="AE62" s="242">
        <f>IF(AD62=0,0,IF(G62="否",ROUND((设定!$C$4-机器设备及辅助设施评估明细表!AC62)/365,2),0))</f>
        <v>0</v>
      </c>
      <c r="AF62" s="242">
        <f t="shared" si="90"/>
        <v>0</v>
      </c>
      <c r="AG62" s="249">
        <f t="shared" si="91"/>
        <v>0</v>
      </c>
      <c r="AH62" s="249"/>
      <c r="AI62" s="250" t="str">
        <f>IF(G62="否",IF($AM$3="是",40%,""),"")</f>
        <v/>
      </c>
      <c r="AJ62" s="251"/>
      <c r="AK62" s="242">
        <f>IF(AJ62="",0,VLOOKUP(AJ62,成新率说明!$H$3:$I$6,2,0))</f>
        <v>0</v>
      </c>
      <c r="AL62" s="251"/>
      <c r="AM62" s="242">
        <f>IF(AL62="",0,VLOOKUP(AL62,成新率说明!$H$7:$I$11,2,0))</f>
        <v>0</v>
      </c>
      <c r="AN62" s="251"/>
      <c r="AO62" s="242">
        <f>IF(AN62="",0,VLOOKUP(AN62,成新率说明!$H$12:$I$15,2,0))</f>
        <v>0</v>
      </c>
      <c r="AP62" s="242">
        <f t="shared" si="78"/>
        <v>0</v>
      </c>
      <c r="AQ62" s="250" t="str">
        <f t="shared" si="79"/>
        <v/>
      </c>
      <c r="AR62" s="251"/>
      <c r="AS62" s="251"/>
      <c r="AT62" s="265"/>
      <c r="AU62" s="239"/>
      <c r="AV62" s="227"/>
      <c r="AW62" s="272">
        <f>IF(AV62="",0,VLOOKUP(AV62,残值率参考表!$C$4:$D$23,2,0))</f>
        <v>0</v>
      </c>
      <c r="AX62" s="225"/>
      <c r="AY62" s="242">
        <f>ROUND(BA62/2,1)</f>
        <v>5</v>
      </c>
      <c r="AZ62" s="241">
        <v>1</v>
      </c>
      <c r="BA62" s="241">
        <v>10</v>
      </c>
      <c r="BB62" s="241"/>
      <c r="BC62" s="242">
        <f t="shared" si="92"/>
        <v>16</v>
      </c>
      <c r="BD62" s="251"/>
      <c r="BE62" s="239">
        <f t="shared" si="85"/>
        <v>14400</v>
      </c>
      <c r="BF62" s="275" t="str">
        <f t="shared" si="66"/>
        <v/>
      </c>
    </row>
    <row r="63" s="156" customFormat="1" ht="22.15" hidden="1" customHeight="1" spans="1:58">
      <c r="A63" s="182">
        <f>设备类勘察表!A61</f>
        <v>57</v>
      </c>
      <c r="B63" s="182" t="str">
        <f>设备类勘察表!B61</f>
        <v>车间配电箱</v>
      </c>
      <c r="C63" s="182">
        <f>设备类勘察表!C61</f>
        <v>0</v>
      </c>
      <c r="D63" s="182">
        <f>设备类勘察表!D61</f>
        <v>0</v>
      </c>
      <c r="E63" s="182" t="str">
        <f>设备类勘察表!G61</f>
        <v>只</v>
      </c>
      <c r="F63" s="182">
        <f>设备类勘察表!F61</f>
        <v>16</v>
      </c>
      <c r="G63" s="183" t="s">
        <v>343</v>
      </c>
      <c r="H63" s="184">
        <f t="shared" si="88"/>
        <v>8000</v>
      </c>
      <c r="I63" s="199">
        <f t="shared" si="93"/>
        <v>0</v>
      </c>
      <c r="J63" s="199">
        <f t="shared" si="55"/>
        <v>0</v>
      </c>
      <c r="K63" s="200">
        <f t="shared" si="68"/>
        <v>0</v>
      </c>
      <c r="L63" s="182">
        <f t="shared" si="69"/>
        <v>0</v>
      </c>
      <c r="M63" s="182">
        <f t="shared" si="70"/>
        <v>0</v>
      </c>
      <c r="N63" s="182">
        <f t="shared" si="71"/>
        <v>0</v>
      </c>
      <c r="O63" s="182">
        <f t="shared" si="72"/>
        <v>0</v>
      </c>
      <c r="P63" s="182">
        <f t="shared" si="73"/>
        <v>500</v>
      </c>
      <c r="Q63" s="223">
        <f t="shared" si="74"/>
        <v>8000</v>
      </c>
      <c r="R63" s="224" t="str">
        <f t="shared" si="75"/>
        <v>500元/只</v>
      </c>
      <c r="S63" s="224"/>
      <c r="T63" s="202"/>
      <c r="U63" s="225">
        <v>500</v>
      </c>
      <c r="V63" s="225"/>
      <c r="W63" s="227"/>
      <c r="X63" s="227"/>
      <c r="Y63" s="227"/>
      <c r="Z63" s="227"/>
      <c r="AA63" s="227"/>
      <c r="AB63" s="239">
        <f t="shared" si="77"/>
        <v>8000</v>
      </c>
      <c r="AC63" s="240" t="str">
        <f>设备类勘察表!E61</f>
        <v>2006年1月</v>
      </c>
      <c r="AD63" s="241"/>
      <c r="AE63" s="242">
        <f>IF(AD63=0,0,IF(G63="否",ROUND((设定!$C$4-机器设备及辅助设施评估明细表!AC63)/365,2),0))</f>
        <v>0</v>
      </c>
      <c r="AF63" s="242">
        <f t="shared" si="90"/>
        <v>0</v>
      </c>
      <c r="AG63" s="249">
        <f t="shared" si="91"/>
        <v>0</v>
      </c>
      <c r="AH63" s="249"/>
      <c r="AI63" s="250" t="str">
        <f>IF(G63="否",IF($AM$3="是",40%,""),"")</f>
        <v/>
      </c>
      <c r="AJ63" s="251"/>
      <c r="AK63" s="242">
        <f>IF(AJ63="",0,VLOOKUP(AJ63,成新率说明!$H$3:$I$6,2,0))</f>
        <v>0</v>
      </c>
      <c r="AL63" s="251"/>
      <c r="AM63" s="242">
        <f>IF(AL63="",0,VLOOKUP(AL63,成新率说明!$H$7:$I$11,2,0))</f>
        <v>0</v>
      </c>
      <c r="AN63" s="251"/>
      <c r="AO63" s="242">
        <f>IF(AN63="",0,VLOOKUP(AN63,成新率说明!$H$12:$I$15,2,0))</f>
        <v>0</v>
      </c>
      <c r="AP63" s="242">
        <f t="shared" si="78"/>
        <v>0</v>
      </c>
      <c r="AQ63" s="250" t="str">
        <f t="shared" si="79"/>
        <v/>
      </c>
      <c r="AR63" s="251"/>
      <c r="AS63" s="251"/>
      <c r="AT63" s="265">
        <f>IF(G63="否",IF($AM$3="是",ROUND(AG63*AI63+AP63*AQ63,0)-AR63-AS63,AG63-AR63-AS63),0)</f>
        <v>0</v>
      </c>
      <c r="AU63" s="239">
        <f t="shared" si="89"/>
        <v>0</v>
      </c>
      <c r="AV63" s="227"/>
      <c r="AW63" s="272">
        <f>IF(AV63="",0,VLOOKUP(AV63,残值率参考表!$C$4:$D$23,2,0))</f>
        <v>0</v>
      </c>
      <c r="AX63" s="225">
        <v>500</v>
      </c>
      <c r="AY63" s="242">
        <f>ROUND(BA63/2,1)</f>
        <v>0</v>
      </c>
      <c r="AZ63" s="241"/>
      <c r="BA63" s="241"/>
      <c r="BB63" s="241"/>
      <c r="BC63" s="242">
        <f t="shared" si="92"/>
        <v>500</v>
      </c>
      <c r="BD63" s="251"/>
      <c r="BE63" s="239">
        <f t="shared" si="85"/>
        <v>8000</v>
      </c>
      <c r="BF63" s="275" t="str">
        <f t="shared" si="66"/>
        <v>500元/只</v>
      </c>
    </row>
    <row r="64" s="156" customFormat="1" ht="22.15" hidden="1" customHeight="1" spans="1:58">
      <c r="A64" s="182">
        <f>设备类勘察表!A62</f>
        <v>58</v>
      </c>
      <c r="B64" s="182" t="str">
        <f>设备类勘察表!B62</f>
        <v>监控</v>
      </c>
      <c r="C64" s="182">
        <f>设备类勘察表!C62</f>
        <v>0</v>
      </c>
      <c r="D64" s="182">
        <f>设备类勘察表!D62</f>
        <v>0</v>
      </c>
      <c r="E64" s="182" t="str">
        <f>设备类勘察表!G62</f>
        <v>套</v>
      </c>
      <c r="F64" s="182">
        <f>设备类勘察表!F62</f>
        <v>1</v>
      </c>
      <c r="G64" s="183" t="s">
        <v>343</v>
      </c>
      <c r="H64" s="184">
        <f t="shared" ref="H61:H72" si="94">AB64</f>
        <v>8000</v>
      </c>
      <c r="I64" s="199">
        <f t="shared" si="93"/>
        <v>0</v>
      </c>
      <c r="J64" s="199">
        <f t="shared" si="55"/>
        <v>0</v>
      </c>
      <c r="K64" s="200">
        <f t="shared" si="68"/>
        <v>0</v>
      </c>
      <c r="L64" s="182">
        <f t="shared" si="69"/>
        <v>5</v>
      </c>
      <c r="M64" s="182">
        <f t="shared" si="70"/>
        <v>1</v>
      </c>
      <c r="N64" s="182">
        <f t="shared" si="71"/>
        <v>10</v>
      </c>
      <c r="O64" s="182">
        <f t="shared" si="72"/>
        <v>0</v>
      </c>
      <c r="P64" s="182">
        <f t="shared" si="73"/>
        <v>16</v>
      </c>
      <c r="Q64" s="223">
        <f t="shared" si="74"/>
        <v>1280</v>
      </c>
      <c r="R64" s="224" t="str">
        <f t="shared" si="75"/>
        <v/>
      </c>
      <c r="S64" s="224"/>
      <c r="T64" s="202"/>
      <c r="U64" s="225">
        <v>8000</v>
      </c>
      <c r="V64" s="225"/>
      <c r="W64" s="227"/>
      <c r="X64" s="227"/>
      <c r="Y64" s="227"/>
      <c r="Z64" s="227"/>
      <c r="AA64" s="227"/>
      <c r="AB64" s="239">
        <f t="shared" ref="AB61:AB87" si="95">ROUND((U64*(1+W64+X64+Y64)*(1+Z64)*(1+AA64))*F64,0)</f>
        <v>8000</v>
      </c>
      <c r="AC64" s="240" t="str">
        <f>设备类勘察表!E62</f>
        <v>2015年1月</v>
      </c>
      <c r="AD64" s="241"/>
      <c r="AE64" s="242">
        <f>IF(AD64=0,0,IF(G64="否",ROUND((设定!$C$4-机器设备及辅助设施评估明细表!AC64)/365,2),0))</f>
        <v>0</v>
      </c>
      <c r="AF64" s="242">
        <f t="shared" si="90"/>
        <v>0</v>
      </c>
      <c r="AG64" s="249">
        <f t="shared" si="91"/>
        <v>0</v>
      </c>
      <c r="AH64" s="249"/>
      <c r="AI64" s="250" t="str">
        <f>IF(G64="否",IF($AM$3="是",40%,""),"")</f>
        <v/>
      </c>
      <c r="AJ64" s="251"/>
      <c r="AK64" s="242">
        <f>IF(AJ64="",0,VLOOKUP(AJ64,成新率说明!$H$3:$I$6,2,0))</f>
        <v>0</v>
      </c>
      <c r="AL64" s="251"/>
      <c r="AM64" s="242">
        <f>IF(AL64="",0,VLOOKUP(AL64,成新率说明!$H$7:$I$11,2,0))</f>
        <v>0</v>
      </c>
      <c r="AN64" s="251"/>
      <c r="AO64" s="242">
        <f>IF(AN64="",0,VLOOKUP(AN64,成新率说明!$H$12:$I$15,2,0))</f>
        <v>0</v>
      </c>
      <c r="AP64" s="242">
        <f t="shared" si="78"/>
        <v>0</v>
      </c>
      <c r="AQ64" s="250" t="str">
        <f t="shared" si="79"/>
        <v/>
      </c>
      <c r="AR64" s="251"/>
      <c r="AS64" s="251"/>
      <c r="AT64" s="265">
        <f>IF(G64="否",IF($AM$3="是",ROUND(AG64*AI64+AP64*AQ64,0)-AR64-AS64,AG64-AR64-AS64),0)</f>
        <v>0</v>
      </c>
      <c r="AU64" s="239">
        <f t="shared" si="89"/>
        <v>0</v>
      </c>
      <c r="AV64" s="227"/>
      <c r="AW64" s="272">
        <f>IF(AV64="",0,VLOOKUP(AV64,残值率参考表!$C$4:$D$23,2,0))</f>
        <v>0</v>
      </c>
      <c r="AX64" s="225"/>
      <c r="AY64" s="242">
        <f>ROUND(BA64/2,1)</f>
        <v>5</v>
      </c>
      <c r="AZ64" s="241">
        <v>1</v>
      </c>
      <c r="BA64" s="241">
        <v>10</v>
      </c>
      <c r="BB64" s="241"/>
      <c r="BC64" s="242">
        <f t="shared" si="92"/>
        <v>16</v>
      </c>
      <c r="BD64" s="251"/>
      <c r="BE64" s="239">
        <f t="shared" si="85"/>
        <v>1280</v>
      </c>
      <c r="BF64" s="275" t="str">
        <f t="shared" ref="BF61:BF87" si="96">IF(AW64=0,IF(AX64=0,"",AX64&amp;"元/"&amp;E64),("扣除"&amp;AW64*100&amp;"%残值"))</f>
        <v/>
      </c>
    </row>
    <row r="65" s="156" customFormat="1" ht="22.15" customHeight="1" spans="1:58">
      <c r="A65" s="182">
        <f>设备类勘察表!A63</f>
        <v>59</v>
      </c>
      <c r="B65" s="182" t="str">
        <f>设备类勘察表!B63</f>
        <v>沟槽</v>
      </c>
      <c r="C65" s="182" t="str">
        <f>设备类勘察表!C63</f>
        <v>500×80</v>
      </c>
      <c r="D65" s="182">
        <f>设备类勘察表!D63</f>
        <v>0</v>
      </c>
      <c r="E65" s="182" t="str">
        <f>设备类勘察表!G63</f>
        <v>米</v>
      </c>
      <c r="F65" s="182">
        <f>设备类勘察表!F63</f>
        <v>54</v>
      </c>
      <c r="G65" s="183" t="s">
        <v>230</v>
      </c>
      <c r="H65" s="184">
        <f t="shared" si="94"/>
        <v>12852</v>
      </c>
      <c r="I65" s="199">
        <f t="shared" si="93"/>
        <v>0.6</v>
      </c>
      <c r="J65" s="199">
        <f t="shared" si="55"/>
        <v>0</v>
      </c>
      <c r="K65" s="200">
        <f t="shared" si="68"/>
        <v>77</v>
      </c>
      <c r="L65" s="182">
        <f t="shared" si="69"/>
        <v>0</v>
      </c>
      <c r="M65" s="182">
        <f t="shared" si="70"/>
        <v>0</v>
      </c>
      <c r="N65" s="182">
        <f t="shared" si="71"/>
        <v>0</v>
      </c>
      <c r="O65" s="182">
        <f t="shared" si="72"/>
        <v>0</v>
      </c>
      <c r="P65" s="182">
        <f t="shared" si="73"/>
        <v>0</v>
      </c>
      <c r="Q65" s="223">
        <f t="shared" si="74"/>
        <v>7711</v>
      </c>
      <c r="R65" s="224" t="str">
        <f t="shared" si="75"/>
        <v/>
      </c>
      <c r="S65" s="224"/>
      <c r="T65" s="202"/>
      <c r="U65" s="225">
        <v>238</v>
      </c>
      <c r="V65" s="225"/>
      <c r="W65" s="227"/>
      <c r="X65" s="227"/>
      <c r="Y65" s="227"/>
      <c r="Z65" s="227"/>
      <c r="AA65" s="227"/>
      <c r="AB65" s="239">
        <f t="shared" ref="AB65:AB72" si="97">ROUND((U65*(1+W65+X65+Y65)*(1+Z65)*(1+AA65))*F65,0)</f>
        <v>12852</v>
      </c>
      <c r="AC65" s="240" t="str">
        <f>设备类勘察表!E63</f>
        <v>2006年1月</v>
      </c>
      <c r="AD65" s="241">
        <v>41</v>
      </c>
      <c r="AE65" s="242">
        <f>IF(AD65=0,0,IF(G65="否",ROUND((设定!$C$4-机器设备及辅助设施评估明细表!AC65)/365,2),0))</f>
        <v>16.22</v>
      </c>
      <c r="AF65" s="242">
        <f t="shared" si="90"/>
        <v>24.78</v>
      </c>
      <c r="AG65" s="249">
        <f t="shared" si="91"/>
        <v>60</v>
      </c>
      <c r="AH65" s="249" t="s">
        <v>398</v>
      </c>
      <c r="AI65" s="250">
        <f>IF(G65="否",IF($AM$3="是",40%,""),"")</f>
        <v>0.4</v>
      </c>
      <c r="AJ65" s="251"/>
      <c r="AK65" s="242">
        <f>IF(AJ65="",0,VLOOKUP(AJ65,成新率说明!$H$3:$I$6,2,0))</f>
        <v>0</v>
      </c>
      <c r="AL65" s="251"/>
      <c r="AM65" s="242">
        <f>IF(AL65="",0,VLOOKUP(AL65,成新率说明!$H$7:$I$11,2,0))</f>
        <v>0</v>
      </c>
      <c r="AN65" s="251"/>
      <c r="AO65" s="242">
        <f>IF(AN65="",0,VLOOKUP(AN65,成新率说明!$H$12:$I$15,2,0))</f>
        <v>0</v>
      </c>
      <c r="AP65" s="242">
        <f t="shared" si="78"/>
        <v>0</v>
      </c>
      <c r="AQ65" s="250">
        <f t="shared" si="79"/>
        <v>0.6</v>
      </c>
      <c r="AR65" s="251"/>
      <c r="AS65" s="251"/>
      <c r="AT65" s="265">
        <f t="shared" ref="AT64:AT72" si="98">IF(AH65="年限法",AG65/100,IF(AH65="勘察法",ROUND(AP65/100,2),ROUND(AG65*AI65/100+AP65*AQ65/100,2)))</f>
        <v>0.6</v>
      </c>
      <c r="AU65" s="239">
        <f t="shared" ref="AU65:AU72" si="99">ROUND(AB65*AT65/100,0)</f>
        <v>77</v>
      </c>
      <c r="AV65" s="227" t="s">
        <v>399</v>
      </c>
      <c r="AW65" s="272">
        <f>IF(AV65="",0,VLOOKUP(AV65,残值率参考表!$C$4:$D$23,2,0))</f>
        <v>0</v>
      </c>
      <c r="AX65" s="225"/>
      <c r="AY65" s="242">
        <f t="shared" ref="AY65:AY76" si="100">ROUND(BA65/2,1)</f>
        <v>0</v>
      </c>
      <c r="AZ65" s="241"/>
      <c r="BA65" s="241"/>
      <c r="BB65" s="241"/>
      <c r="BC65" s="242">
        <f t="shared" si="92"/>
        <v>0</v>
      </c>
      <c r="BD65" s="251"/>
      <c r="BE65" s="239">
        <f t="shared" ref="BE65:BE81" si="101">IF(AX65=0,IF(G65="可",ROUND(AB65*BC65/100,0),ROUND(AB65*(AT65-AW65),0)),ROUND(AX65*F65,0))</f>
        <v>7711</v>
      </c>
      <c r="BF65" s="275" t="str">
        <f t="shared" si="96"/>
        <v/>
      </c>
    </row>
    <row r="66" s="156" customFormat="1" ht="22.15" customHeight="1" spans="1:58">
      <c r="A66" s="182">
        <f>设备类勘察表!A64</f>
        <v>60</v>
      </c>
      <c r="B66" s="182" t="str">
        <f>设备类勘察表!B64</f>
        <v>沟槽</v>
      </c>
      <c r="C66" s="182" t="str">
        <f>设备类勘察表!C64</f>
        <v>500×80</v>
      </c>
      <c r="D66" s="182">
        <f>设备类勘察表!D64</f>
        <v>0</v>
      </c>
      <c r="E66" s="182" t="str">
        <f>设备类勘察表!G64</f>
        <v>米</v>
      </c>
      <c r="F66" s="182">
        <f>设备类勘察表!F64</f>
        <v>36</v>
      </c>
      <c r="G66" s="183" t="s">
        <v>230</v>
      </c>
      <c r="H66" s="184">
        <f t="shared" si="94"/>
        <v>8568</v>
      </c>
      <c r="I66" s="199">
        <f t="shared" si="93"/>
        <v>0.6</v>
      </c>
      <c r="J66" s="199">
        <f t="shared" si="55"/>
        <v>0</v>
      </c>
      <c r="K66" s="200">
        <f t="shared" si="68"/>
        <v>51</v>
      </c>
      <c r="L66" s="182">
        <f t="shared" si="69"/>
        <v>0</v>
      </c>
      <c r="M66" s="182">
        <f t="shared" si="70"/>
        <v>0</v>
      </c>
      <c r="N66" s="182">
        <f t="shared" si="71"/>
        <v>0</v>
      </c>
      <c r="O66" s="182">
        <f t="shared" si="72"/>
        <v>0</v>
      </c>
      <c r="P66" s="182">
        <f t="shared" si="73"/>
        <v>0</v>
      </c>
      <c r="Q66" s="223">
        <f t="shared" si="74"/>
        <v>5141</v>
      </c>
      <c r="R66" s="224" t="str">
        <f t="shared" si="75"/>
        <v/>
      </c>
      <c r="S66" s="224"/>
      <c r="T66" s="202"/>
      <c r="U66" s="225">
        <v>238</v>
      </c>
      <c r="V66" s="225"/>
      <c r="W66" s="227"/>
      <c r="X66" s="227"/>
      <c r="Y66" s="227"/>
      <c r="Z66" s="227"/>
      <c r="AA66" s="227"/>
      <c r="AB66" s="239">
        <f t="shared" si="97"/>
        <v>8568</v>
      </c>
      <c r="AC66" s="240" t="str">
        <f>设备类勘察表!E64</f>
        <v>2006年1月</v>
      </c>
      <c r="AD66" s="241">
        <v>41</v>
      </c>
      <c r="AE66" s="242">
        <f>IF(AD66=0,0,IF(G66="否",ROUND((设定!$C$4-机器设备及辅助设施评估明细表!AC66)/365,2),0))</f>
        <v>16.22</v>
      </c>
      <c r="AF66" s="242">
        <f t="shared" si="90"/>
        <v>24.78</v>
      </c>
      <c r="AG66" s="249">
        <f t="shared" si="91"/>
        <v>60</v>
      </c>
      <c r="AH66" s="249" t="s">
        <v>398</v>
      </c>
      <c r="AI66" s="250">
        <f t="shared" ref="AI66:AI72" si="102">IF(G66="否",IF($AM$3="是",40%,""),"")</f>
        <v>0.4</v>
      </c>
      <c r="AJ66" s="251"/>
      <c r="AK66" s="242">
        <f>IF(AJ66="",0,VLOOKUP(AJ66,成新率说明!$H$3:$I$6,2,0))</f>
        <v>0</v>
      </c>
      <c r="AL66" s="251"/>
      <c r="AM66" s="242">
        <f>IF(AL66="",0,VLOOKUP(AL66,成新率说明!$H$7:$I$11,2,0))</f>
        <v>0</v>
      </c>
      <c r="AN66" s="251"/>
      <c r="AO66" s="242">
        <f>IF(AN66="",0,VLOOKUP(AN66,成新率说明!$H$12:$I$15,2,0))</f>
        <v>0</v>
      </c>
      <c r="AP66" s="242">
        <f t="shared" ref="AP66:AP72" si="103">AK66+AM66+AO66</f>
        <v>0</v>
      </c>
      <c r="AQ66" s="250">
        <f t="shared" ref="AQ66:AQ72" si="104">IF(G66="否",IF($AM$3="是",60%,""),"")</f>
        <v>0.6</v>
      </c>
      <c r="AR66" s="251"/>
      <c r="AS66" s="251"/>
      <c r="AT66" s="265">
        <f t="shared" si="98"/>
        <v>0.6</v>
      </c>
      <c r="AU66" s="239">
        <f t="shared" si="99"/>
        <v>51</v>
      </c>
      <c r="AV66" s="227" t="s">
        <v>399</v>
      </c>
      <c r="AW66" s="272">
        <f>IF(AV66="",0,VLOOKUP(AV66,残值率参考表!$C$4:$D$23,2,0))</f>
        <v>0</v>
      </c>
      <c r="AX66" s="225"/>
      <c r="AY66" s="242">
        <f t="shared" si="100"/>
        <v>0</v>
      </c>
      <c r="AZ66" s="241"/>
      <c r="BA66" s="241"/>
      <c r="BB66" s="241"/>
      <c r="BC66" s="242">
        <f t="shared" si="92"/>
        <v>0</v>
      </c>
      <c r="BD66" s="251"/>
      <c r="BE66" s="239">
        <f t="shared" si="101"/>
        <v>5141</v>
      </c>
      <c r="BF66" s="275" t="str">
        <f t="shared" si="96"/>
        <v/>
      </c>
    </row>
    <row r="67" s="156" customFormat="1" ht="22.15" customHeight="1" spans="1:58">
      <c r="A67" s="182">
        <f>设备类勘察表!A65</f>
        <v>61</v>
      </c>
      <c r="B67" s="182" t="str">
        <f>设备类勘察表!B65</f>
        <v>沟槽</v>
      </c>
      <c r="C67" s="182" t="str">
        <f>设备类勘察表!C65</f>
        <v>500×80</v>
      </c>
      <c r="D67" s="182">
        <f>设备类勘察表!D65</f>
        <v>0</v>
      </c>
      <c r="E67" s="182" t="str">
        <f>设备类勘察表!G65</f>
        <v>米</v>
      </c>
      <c r="F67" s="182">
        <f>设备类勘察表!F65</f>
        <v>20</v>
      </c>
      <c r="G67" s="183" t="s">
        <v>230</v>
      </c>
      <c r="H67" s="184">
        <f t="shared" si="94"/>
        <v>4760</v>
      </c>
      <c r="I67" s="199">
        <f t="shared" si="93"/>
        <v>0.6</v>
      </c>
      <c r="J67" s="199">
        <f t="shared" si="55"/>
        <v>0</v>
      </c>
      <c r="K67" s="200">
        <f t="shared" si="68"/>
        <v>29</v>
      </c>
      <c r="L67" s="182">
        <f t="shared" si="69"/>
        <v>0</v>
      </c>
      <c r="M67" s="182">
        <f t="shared" si="70"/>
        <v>0</v>
      </c>
      <c r="N67" s="182">
        <f t="shared" si="71"/>
        <v>0</v>
      </c>
      <c r="O67" s="182">
        <f t="shared" si="72"/>
        <v>0</v>
      </c>
      <c r="P67" s="182">
        <f t="shared" si="73"/>
        <v>0</v>
      </c>
      <c r="Q67" s="223">
        <f t="shared" si="74"/>
        <v>2856</v>
      </c>
      <c r="R67" s="224" t="str">
        <f t="shared" si="75"/>
        <v/>
      </c>
      <c r="S67" s="224"/>
      <c r="T67" s="202"/>
      <c r="U67" s="225">
        <v>238</v>
      </c>
      <c r="V67" s="225"/>
      <c r="W67" s="227"/>
      <c r="X67" s="227"/>
      <c r="Y67" s="227"/>
      <c r="Z67" s="227"/>
      <c r="AA67" s="227"/>
      <c r="AB67" s="239">
        <f t="shared" si="97"/>
        <v>4760</v>
      </c>
      <c r="AC67" s="240" t="str">
        <f>设备类勘察表!E65</f>
        <v>2006年1月</v>
      </c>
      <c r="AD67" s="241">
        <v>41</v>
      </c>
      <c r="AE67" s="242">
        <f>IF(AD67=0,0,IF(G67="否",ROUND((设定!$C$4-机器设备及辅助设施评估明细表!AC67)/365,2),0))</f>
        <v>16.22</v>
      </c>
      <c r="AF67" s="242">
        <f t="shared" si="90"/>
        <v>24.78</v>
      </c>
      <c r="AG67" s="249">
        <f t="shared" si="91"/>
        <v>60</v>
      </c>
      <c r="AH67" s="249" t="s">
        <v>398</v>
      </c>
      <c r="AI67" s="250">
        <f t="shared" si="102"/>
        <v>0.4</v>
      </c>
      <c r="AJ67" s="251"/>
      <c r="AK67" s="242">
        <f>IF(AJ67="",0,VLOOKUP(AJ67,成新率说明!$H$3:$I$6,2,0))</f>
        <v>0</v>
      </c>
      <c r="AL67" s="251"/>
      <c r="AM67" s="242">
        <f>IF(AL67="",0,VLOOKUP(AL67,成新率说明!$H$7:$I$11,2,0))</f>
        <v>0</v>
      </c>
      <c r="AN67" s="251"/>
      <c r="AO67" s="242">
        <f>IF(AN67="",0,VLOOKUP(AN67,成新率说明!$H$12:$I$15,2,0))</f>
        <v>0</v>
      </c>
      <c r="AP67" s="242">
        <f t="shared" si="103"/>
        <v>0</v>
      </c>
      <c r="AQ67" s="250">
        <f t="shared" si="104"/>
        <v>0.6</v>
      </c>
      <c r="AR67" s="251"/>
      <c r="AS67" s="251"/>
      <c r="AT67" s="265">
        <f t="shared" si="98"/>
        <v>0.6</v>
      </c>
      <c r="AU67" s="239">
        <f t="shared" si="99"/>
        <v>29</v>
      </c>
      <c r="AV67" s="227" t="s">
        <v>399</v>
      </c>
      <c r="AW67" s="272">
        <f>IF(AV67="",0,VLOOKUP(AV67,残值率参考表!$C$4:$D$23,2,0))</f>
        <v>0</v>
      </c>
      <c r="AX67" s="225"/>
      <c r="AY67" s="242">
        <f t="shared" si="100"/>
        <v>0</v>
      </c>
      <c r="AZ67" s="241"/>
      <c r="BA67" s="241"/>
      <c r="BB67" s="241"/>
      <c r="BC67" s="242">
        <f t="shared" si="92"/>
        <v>0</v>
      </c>
      <c r="BD67" s="251"/>
      <c r="BE67" s="239">
        <f t="shared" si="101"/>
        <v>2856</v>
      </c>
      <c r="BF67" s="275" t="str">
        <f t="shared" si="96"/>
        <v/>
      </c>
    </row>
    <row r="68" s="156" customFormat="1" ht="22.15" customHeight="1" spans="1:58">
      <c r="A68" s="182">
        <f>设备类勘察表!A66</f>
        <v>62</v>
      </c>
      <c r="B68" s="182" t="str">
        <f>设备类勘察表!B66</f>
        <v>沟槽</v>
      </c>
      <c r="C68" s="182" t="str">
        <f>设备类勘察表!C66</f>
        <v>500×80</v>
      </c>
      <c r="D68" s="182">
        <f>设备类勘察表!D66</f>
        <v>0</v>
      </c>
      <c r="E68" s="182" t="str">
        <f>设备类勘察表!G66</f>
        <v>米</v>
      </c>
      <c r="F68" s="182">
        <f>设备类勘察表!F66</f>
        <v>54</v>
      </c>
      <c r="G68" s="183" t="s">
        <v>230</v>
      </c>
      <c r="H68" s="184">
        <f t="shared" si="94"/>
        <v>12852</v>
      </c>
      <c r="I68" s="199">
        <f t="shared" si="54"/>
        <v>0.6</v>
      </c>
      <c r="J68" s="199">
        <f t="shared" si="55"/>
        <v>0</v>
      </c>
      <c r="K68" s="200">
        <f t="shared" si="68"/>
        <v>77</v>
      </c>
      <c r="L68" s="182">
        <f t="shared" si="69"/>
        <v>0</v>
      </c>
      <c r="M68" s="182">
        <f t="shared" si="70"/>
        <v>0</v>
      </c>
      <c r="N68" s="182">
        <f t="shared" si="71"/>
        <v>0</v>
      </c>
      <c r="O68" s="182">
        <f t="shared" si="72"/>
        <v>0</v>
      </c>
      <c r="P68" s="182">
        <f t="shared" si="73"/>
        <v>0</v>
      </c>
      <c r="Q68" s="223">
        <f t="shared" si="74"/>
        <v>7711</v>
      </c>
      <c r="R68" s="224" t="str">
        <f t="shared" si="75"/>
        <v/>
      </c>
      <c r="S68" s="224"/>
      <c r="T68" s="202"/>
      <c r="U68" s="225">
        <v>238</v>
      </c>
      <c r="V68" s="225"/>
      <c r="W68" s="227"/>
      <c r="X68" s="227"/>
      <c r="Y68" s="227"/>
      <c r="Z68" s="227"/>
      <c r="AA68" s="227"/>
      <c r="AB68" s="239">
        <f t="shared" si="97"/>
        <v>12852</v>
      </c>
      <c r="AC68" s="240" t="str">
        <f>设备类勘察表!E66</f>
        <v>2006年1月</v>
      </c>
      <c r="AD68" s="241">
        <v>41</v>
      </c>
      <c r="AE68" s="242">
        <f>IF(AD68=0,0,IF(G68="否",ROUND((设定!$C$4-机器设备及辅助设施评估明细表!AC68)/365,2),0))</f>
        <v>16.22</v>
      </c>
      <c r="AF68" s="242">
        <f t="shared" si="90"/>
        <v>24.78</v>
      </c>
      <c r="AG68" s="249">
        <f t="shared" si="91"/>
        <v>60</v>
      </c>
      <c r="AH68" s="249" t="s">
        <v>398</v>
      </c>
      <c r="AI68" s="250">
        <f t="shared" si="102"/>
        <v>0.4</v>
      </c>
      <c r="AJ68" s="251"/>
      <c r="AK68" s="242">
        <f>IF(AJ68="",0,VLOOKUP(AJ68,成新率说明!$H$3:$I$6,2,0))</f>
        <v>0</v>
      </c>
      <c r="AL68" s="251"/>
      <c r="AM68" s="242">
        <f>IF(AL68="",0,VLOOKUP(AL68,成新率说明!$H$7:$I$11,2,0))</f>
        <v>0</v>
      </c>
      <c r="AN68" s="251"/>
      <c r="AO68" s="242">
        <f>IF(AN68="",0,VLOOKUP(AN68,成新率说明!$H$12:$I$15,2,0))</f>
        <v>0</v>
      </c>
      <c r="AP68" s="242">
        <f t="shared" si="103"/>
        <v>0</v>
      </c>
      <c r="AQ68" s="250">
        <f t="shared" si="104"/>
        <v>0.6</v>
      </c>
      <c r="AR68" s="251"/>
      <c r="AS68" s="251"/>
      <c r="AT68" s="265">
        <f t="shared" si="98"/>
        <v>0.6</v>
      </c>
      <c r="AU68" s="239">
        <f t="shared" si="99"/>
        <v>77</v>
      </c>
      <c r="AV68" s="227" t="s">
        <v>399</v>
      </c>
      <c r="AW68" s="272">
        <f>IF(AV68="",0,VLOOKUP(AV68,残值率参考表!$C$4:$D$23,2,0))</f>
        <v>0</v>
      </c>
      <c r="AX68" s="225"/>
      <c r="AY68" s="242">
        <f t="shared" si="100"/>
        <v>0</v>
      </c>
      <c r="AZ68" s="241"/>
      <c r="BA68" s="241"/>
      <c r="BB68" s="241"/>
      <c r="BC68" s="242">
        <f t="shared" ref="BC68:BC78" si="105">AY68+AZ68+BA68+BB68</f>
        <v>0</v>
      </c>
      <c r="BD68" s="251"/>
      <c r="BE68" s="239">
        <f t="shared" si="101"/>
        <v>7711</v>
      </c>
      <c r="BF68" s="275" t="str">
        <f t="shared" si="96"/>
        <v/>
      </c>
    </row>
    <row r="69" s="156" customFormat="1" ht="22.15" customHeight="1" spans="1:58">
      <c r="A69" s="182">
        <f>设备类勘察表!A67</f>
        <v>63</v>
      </c>
      <c r="B69" s="182" t="str">
        <f>设备类勘察表!B67</f>
        <v>沟槽</v>
      </c>
      <c r="C69" s="182" t="str">
        <f>设备类勘察表!C67</f>
        <v>500×80</v>
      </c>
      <c r="D69" s="182">
        <f>设备类勘察表!D67</f>
        <v>0</v>
      </c>
      <c r="E69" s="182" t="str">
        <f>设备类勘察表!G67</f>
        <v>米</v>
      </c>
      <c r="F69" s="182">
        <f>设备类勘察表!F67</f>
        <v>54</v>
      </c>
      <c r="G69" s="183" t="s">
        <v>230</v>
      </c>
      <c r="H69" s="184">
        <f t="shared" si="94"/>
        <v>12852</v>
      </c>
      <c r="I69" s="199">
        <f t="shared" si="54"/>
        <v>0.6</v>
      </c>
      <c r="J69" s="199">
        <f t="shared" si="55"/>
        <v>0</v>
      </c>
      <c r="K69" s="200">
        <f t="shared" si="68"/>
        <v>77</v>
      </c>
      <c r="L69" s="182">
        <f t="shared" si="69"/>
        <v>0</v>
      </c>
      <c r="M69" s="182">
        <f t="shared" si="70"/>
        <v>0</v>
      </c>
      <c r="N69" s="182">
        <f t="shared" si="71"/>
        <v>0</v>
      </c>
      <c r="O69" s="182">
        <f t="shared" si="72"/>
        <v>0</v>
      </c>
      <c r="P69" s="182">
        <f t="shared" si="73"/>
        <v>0</v>
      </c>
      <c r="Q69" s="223">
        <f t="shared" si="74"/>
        <v>7711</v>
      </c>
      <c r="R69" s="224" t="str">
        <f t="shared" si="75"/>
        <v/>
      </c>
      <c r="S69" s="224"/>
      <c r="T69" s="202"/>
      <c r="U69" s="225">
        <v>238</v>
      </c>
      <c r="V69" s="225"/>
      <c r="W69" s="227"/>
      <c r="X69" s="227"/>
      <c r="Y69" s="227"/>
      <c r="Z69" s="227"/>
      <c r="AA69" s="227"/>
      <c r="AB69" s="239">
        <f t="shared" si="97"/>
        <v>12852</v>
      </c>
      <c r="AC69" s="240" t="str">
        <f>设备类勘察表!E67</f>
        <v>2006年1月</v>
      </c>
      <c r="AD69" s="241">
        <v>41</v>
      </c>
      <c r="AE69" s="242">
        <f>IF(AD69=0,0,IF(G69="否",ROUND((设定!$C$4-机器设备及辅助设施评估明细表!AC69)/365,2),0))</f>
        <v>16.22</v>
      </c>
      <c r="AF69" s="242">
        <f t="shared" si="90"/>
        <v>24.78</v>
      </c>
      <c r="AG69" s="249">
        <f t="shared" si="91"/>
        <v>60</v>
      </c>
      <c r="AH69" s="249" t="s">
        <v>398</v>
      </c>
      <c r="AI69" s="250">
        <f t="shared" si="102"/>
        <v>0.4</v>
      </c>
      <c r="AJ69" s="251"/>
      <c r="AK69" s="242">
        <f>IF(AJ69="",0,VLOOKUP(AJ69,成新率说明!$H$3:$I$6,2,0))</f>
        <v>0</v>
      </c>
      <c r="AL69" s="251"/>
      <c r="AM69" s="242">
        <f>IF(AL69="",0,VLOOKUP(AL69,成新率说明!$H$7:$I$11,2,0))</f>
        <v>0</v>
      </c>
      <c r="AN69" s="251"/>
      <c r="AO69" s="242">
        <f>IF(AN69="",0,VLOOKUP(AN69,成新率说明!$H$12:$I$15,2,0))</f>
        <v>0</v>
      </c>
      <c r="AP69" s="242">
        <f t="shared" si="103"/>
        <v>0</v>
      </c>
      <c r="AQ69" s="250">
        <f t="shared" si="104"/>
        <v>0.6</v>
      </c>
      <c r="AR69" s="251"/>
      <c r="AS69" s="251"/>
      <c r="AT69" s="265">
        <f t="shared" si="98"/>
        <v>0.6</v>
      </c>
      <c r="AU69" s="239">
        <f t="shared" si="99"/>
        <v>77</v>
      </c>
      <c r="AV69" s="227" t="s">
        <v>399</v>
      </c>
      <c r="AW69" s="272">
        <f>IF(AV69="",0,VLOOKUP(AV69,残值率参考表!$C$4:$D$23,2,0))</f>
        <v>0</v>
      </c>
      <c r="AX69" s="225"/>
      <c r="AY69" s="242">
        <f t="shared" si="100"/>
        <v>0</v>
      </c>
      <c r="AZ69" s="241"/>
      <c r="BA69" s="241"/>
      <c r="BB69" s="241"/>
      <c r="BC69" s="242">
        <f t="shared" si="105"/>
        <v>0</v>
      </c>
      <c r="BD69" s="251"/>
      <c r="BE69" s="239">
        <f t="shared" si="101"/>
        <v>7711</v>
      </c>
      <c r="BF69" s="275" t="str">
        <f t="shared" si="96"/>
        <v/>
      </c>
    </row>
    <row r="70" s="156" customFormat="1" ht="22.15" customHeight="1" spans="1:58">
      <c r="A70" s="182">
        <f>设备类勘察表!A68</f>
        <v>64</v>
      </c>
      <c r="B70" s="182" t="str">
        <f>设备类勘察表!B68</f>
        <v>沟槽</v>
      </c>
      <c r="C70" s="182" t="str">
        <f>设备类勘察表!C68</f>
        <v>500×80</v>
      </c>
      <c r="D70" s="182">
        <f>设备类勘察表!D68</f>
        <v>0</v>
      </c>
      <c r="E70" s="182" t="str">
        <f>设备类勘察表!G68</f>
        <v>米</v>
      </c>
      <c r="F70" s="182">
        <f>设备类勘察表!F68</f>
        <v>50</v>
      </c>
      <c r="G70" s="183" t="s">
        <v>230</v>
      </c>
      <c r="H70" s="184">
        <f t="shared" si="94"/>
        <v>11900</v>
      </c>
      <c r="I70" s="199">
        <f t="shared" si="54"/>
        <v>0.6</v>
      </c>
      <c r="J70" s="199">
        <f t="shared" si="55"/>
        <v>0</v>
      </c>
      <c r="K70" s="200">
        <f t="shared" si="68"/>
        <v>71</v>
      </c>
      <c r="L70" s="182">
        <f t="shared" si="69"/>
        <v>0</v>
      </c>
      <c r="M70" s="182">
        <f t="shared" si="70"/>
        <v>0</v>
      </c>
      <c r="N70" s="182">
        <f t="shared" si="71"/>
        <v>0</v>
      </c>
      <c r="O70" s="182">
        <f t="shared" si="72"/>
        <v>0</v>
      </c>
      <c r="P70" s="182">
        <f t="shared" si="73"/>
        <v>0</v>
      </c>
      <c r="Q70" s="223">
        <f t="shared" si="74"/>
        <v>7140</v>
      </c>
      <c r="R70" s="224" t="str">
        <f t="shared" si="75"/>
        <v/>
      </c>
      <c r="S70" s="224"/>
      <c r="T70" s="202"/>
      <c r="U70" s="225">
        <v>238</v>
      </c>
      <c r="V70" s="225"/>
      <c r="W70" s="227"/>
      <c r="X70" s="227"/>
      <c r="Y70" s="227"/>
      <c r="Z70" s="227"/>
      <c r="AA70" s="227"/>
      <c r="AB70" s="239">
        <f t="shared" si="97"/>
        <v>11900</v>
      </c>
      <c r="AC70" s="240" t="str">
        <f>设备类勘察表!E68</f>
        <v>2006年1月</v>
      </c>
      <c r="AD70" s="241">
        <v>41</v>
      </c>
      <c r="AE70" s="242">
        <f>IF(AD70=0,0,IF(G70="否",ROUND((设定!$C$4-机器设备及辅助设施评估明细表!AC70)/365,2),0))</f>
        <v>16.22</v>
      </c>
      <c r="AF70" s="242">
        <f t="shared" si="90"/>
        <v>24.78</v>
      </c>
      <c r="AG70" s="249">
        <f t="shared" si="91"/>
        <v>60</v>
      </c>
      <c r="AH70" s="249" t="s">
        <v>398</v>
      </c>
      <c r="AI70" s="250">
        <f t="shared" si="102"/>
        <v>0.4</v>
      </c>
      <c r="AJ70" s="251"/>
      <c r="AK70" s="242">
        <f>IF(AJ70="",0,VLOOKUP(AJ70,成新率说明!$H$3:$I$6,2,0))</f>
        <v>0</v>
      </c>
      <c r="AL70" s="251"/>
      <c r="AM70" s="242">
        <f>IF(AL70="",0,VLOOKUP(AL70,成新率说明!$H$7:$I$11,2,0))</f>
        <v>0</v>
      </c>
      <c r="AN70" s="251"/>
      <c r="AO70" s="242">
        <f>IF(AN70="",0,VLOOKUP(AN70,成新率说明!$H$12:$I$15,2,0))</f>
        <v>0</v>
      </c>
      <c r="AP70" s="242">
        <f t="shared" si="103"/>
        <v>0</v>
      </c>
      <c r="AQ70" s="250">
        <f t="shared" si="104"/>
        <v>0.6</v>
      </c>
      <c r="AR70" s="251"/>
      <c r="AS70" s="251"/>
      <c r="AT70" s="265">
        <f t="shared" si="98"/>
        <v>0.6</v>
      </c>
      <c r="AU70" s="239">
        <f t="shared" si="99"/>
        <v>71</v>
      </c>
      <c r="AV70" s="227" t="s">
        <v>399</v>
      </c>
      <c r="AW70" s="272">
        <f>IF(AV70="",0,VLOOKUP(AV70,残值率参考表!$C$4:$D$23,2,0))</f>
        <v>0</v>
      </c>
      <c r="AX70" s="225"/>
      <c r="AY70" s="242">
        <f t="shared" si="100"/>
        <v>0</v>
      </c>
      <c r="AZ70" s="241"/>
      <c r="BA70" s="241"/>
      <c r="BB70" s="241"/>
      <c r="BC70" s="242">
        <f t="shared" si="105"/>
        <v>0</v>
      </c>
      <c r="BD70" s="251"/>
      <c r="BE70" s="239">
        <f t="shared" si="101"/>
        <v>7140</v>
      </c>
      <c r="BF70" s="275" t="str">
        <f t="shared" si="96"/>
        <v/>
      </c>
    </row>
    <row r="71" s="156" customFormat="1" ht="22.15" customHeight="1" spans="1:58">
      <c r="A71" s="182">
        <f>设备类勘察表!A69</f>
        <v>65</v>
      </c>
      <c r="B71" s="182" t="str">
        <f>设备类勘察表!B69</f>
        <v>管道PVC</v>
      </c>
      <c r="C71" s="182" t="str">
        <f>设备类勘察表!C69</f>
        <v>φ100mm</v>
      </c>
      <c r="D71" s="182">
        <f>设备类勘察表!D69</f>
        <v>0</v>
      </c>
      <c r="E71" s="182" t="str">
        <f>设备类勘察表!G69</f>
        <v>米</v>
      </c>
      <c r="F71" s="182">
        <f>设备类勘察表!F69</f>
        <v>140</v>
      </c>
      <c r="G71" s="183" t="s">
        <v>230</v>
      </c>
      <c r="H71" s="184">
        <f t="shared" si="94"/>
        <v>8400</v>
      </c>
      <c r="I71" s="199">
        <f t="shared" si="54"/>
        <v>0.5</v>
      </c>
      <c r="J71" s="199">
        <f t="shared" si="55"/>
        <v>0.1</v>
      </c>
      <c r="K71" s="200">
        <f t="shared" si="68"/>
        <v>42</v>
      </c>
      <c r="L71" s="182">
        <f t="shared" si="69"/>
        <v>0</v>
      </c>
      <c r="M71" s="182">
        <f t="shared" si="70"/>
        <v>0</v>
      </c>
      <c r="N71" s="182">
        <f t="shared" si="71"/>
        <v>0</v>
      </c>
      <c r="O71" s="182">
        <f t="shared" si="72"/>
        <v>0</v>
      </c>
      <c r="P71" s="182">
        <f t="shared" si="73"/>
        <v>0</v>
      </c>
      <c r="Q71" s="223">
        <f t="shared" si="74"/>
        <v>3360</v>
      </c>
      <c r="R71" s="224" t="str">
        <f t="shared" si="75"/>
        <v>扣除10%残值</v>
      </c>
      <c r="S71" s="224"/>
      <c r="T71" s="202"/>
      <c r="U71" s="225">
        <v>60</v>
      </c>
      <c r="V71" s="225"/>
      <c r="W71" s="227"/>
      <c r="X71" s="227"/>
      <c r="Y71" s="227"/>
      <c r="Z71" s="227"/>
      <c r="AA71" s="227"/>
      <c r="AB71" s="239">
        <f t="shared" si="97"/>
        <v>8400</v>
      </c>
      <c r="AC71" s="240" t="str">
        <f>设备类勘察表!E69</f>
        <v>2006年1月</v>
      </c>
      <c r="AD71" s="241"/>
      <c r="AE71" s="242">
        <f>IF(AD71=0,0,IF(G71="否",ROUND((设定!$C$4-机器设备及辅助设施评估明细表!AC71)/365,2),0))</f>
        <v>0</v>
      </c>
      <c r="AF71" s="242">
        <f t="shared" si="90"/>
        <v>0</v>
      </c>
      <c r="AG71" s="249">
        <f t="shared" si="91"/>
        <v>0</v>
      </c>
      <c r="AH71" s="249" t="s">
        <v>390</v>
      </c>
      <c r="AI71" s="250">
        <f t="shared" si="102"/>
        <v>0.4</v>
      </c>
      <c r="AJ71" s="251" t="s">
        <v>275</v>
      </c>
      <c r="AK71" s="242">
        <f>IF(AJ71="",0,VLOOKUP(AJ71,成新率说明!$H$3:$I$6,2,0))</f>
        <v>12</v>
      </c>
      <c r="AL71" s="251" t="s">
        <v>400</v>
      </c>
      <c r="AM71" s="242">
        <f>IF(AL71="",0,VLOOKUP(AL71,成新率说明!$H$7:$I$11,2,0))</f>
        <v>20</v>
      </c>
      <c r="AN71" s="251" t="s">
        <v>275</v>
      </c>
      <c r="AO71" s="242">
        <f>IF(AN71="",0,VLOOKUP(AN71,成新率说明!$H$12:$I$15,2,0))</f>
        <v>18</v>
      </c>
      <c r="AP71" s="242">
        <f t="shared" si="103"/>
        <v>50</v>
      </c>
      <c r="AQ71" s="250">
        <f t="shared" si="104"/>
        <v>0.6</v>
      </c>
      <c r="AR71" s="251"/>
      <c r="AS71" s="251"/>
      <c r="AT71" s="265">
        <f t="shared" si="98"/>
        <v>0.5</v>
      </c>
      <c r="AU71" s="239">
        <f t="shared" si="99"/>
        <v>42</v>
      </c>
      <c r="AV71" s="227" t="s">
        <v>401</v>
      </c>
      <c r="AW71" s="272">
        <f>IF(AV71="",0,VLOOKUP(AV71,残值率参考表!$C$4:$D$23,2,0))</f>
        <v>0.1</v>
      </c>
      <c r="AX71" s="225"/>
      <c r="AY71" s="242">
        <f t="shared" si="100"/>
        <v>0</v>
      </c>
      <c r="AZ71" s="241"/>
      <c r="BA71" s="241"/>
      <c r="BB71" s="241"/>
      <c r="BC71" s="242">
        <f t="shared" si="105"/>
        <v>0</v>
      </c>
      <c r="BD71" s="251"/>
      <c r="BE71" s="239">
        <f t="shared" si="101"/>
        <v>3360</v>
      </c>
      <c r="BF71" s="275" t="str">
        <f t="shared" si="96"/>
        <v>扣除10%残值</v>
      </c>
    </row>
    <row r="72" s="156" customFormat="1" ht="22.15" customHeight="1" spans="1:58">
      <c r="A72" s="182">
        <f>设备类勘察表!A70</f>
        <v>66</v>
      </c>
      <c r="B72" s="182" t="str">
        <f>设备类勘察表!B70</f>
        <v>管道镀锌管</v>
      </c>
      <c r="C72" s="182" t="str">
        <f>设备类勘察表!C70</f>
        <v>φ60mm</v>
      </c>
      <c r="D72" s="182">
        <f>设备类勘察表!D70</f>
        <v>0</v>
      </c>
      <c r="E72" s="182" t="str">
        <f>设备类勘察表!G70</f>
        <v>米</v>
      </c>
      <c r="F72" s="182">
        <f>设备类勘察表!F70</f>
        <v>330</v>
      </c>
      <c r="G72" s="183" t="s">
        <v>230</v>
      </c>
      <c r="H72" s="184">
        <f t="shared" si="94"/>
        <v>12540</v>
      </c>
      <c r="I72" s="199">
        <f t="shared" si="54"/>
        <v>0.5</v>
      </c>
      <c r="J72" s="199">
        <f t="shared" si="55"/>
        <v>0.1</v>
      </c>
      <c r="K72" s="200">
        <f t="shared" si="68"/>
        <v>63</v>
      </c>
      <c r="L72" s="182">
        <f t="shared" si="69"/>
        <v>0</v>
      </c>
      <c r="M72" s="182">
        <f t="shared" si="70"/>
        <v>0</v>
      </c>
      <c r="N72" s="182">
        <f t="shared" si="71"/>
        <v>0</v>
      </c>
      <c r="O72" s="182">
        <f t="shared" si="72"/>
        <v>0</v>
      </c>
      <c r="P72" s="182">
        <f t="shared" si="73"/>
        <v>0</v>
      </c>
      <c r="Q72" s="223">
        <f t="shared" si="74"/>
        <v>5016</v>
      </c>
      <c r="R72" s="224" t="str">
        <f t="shared" si="75"/>
        <v>扣除10%残值</v>
      </c>
      <c r="S72" s="224"/>
      <c r="T72" s="202"/>
      <c r="U72" s="225">
        <v>38</v>
      </c>
      <c r="V72" s="225"/>
      <c r="W72" s="227"/>
      <c r="X72" s="227"/>
      <c r="Y72" s="227"/>
      <c r="Z72" s="227"/>
      <c r="AA72" s="227"/>
      <c r="AB72" s="239">
        <f t="shared" si="97"/>
        <v>12540</v>
      </c>
      <c r="AC72" s="240" t="str">
        <f>设备类勘察表!E70</f>
        <v>2006年1月</v>
      </c>
      <c r="AD72" s="241"/>
      <c r="AE72" s="242">
        <f>IF(AD72=0,0,IF(G72="否",ROUND((设定!$C$4-机器设备及辅助设施评估明细表!AC72)/365,2),0))</f>
        <v>0</v>
      </c>
      <c r="AF72" s="242">
        <f t="shared" si="90"/>
        <v>0</v>
      </c>
      <c r="AG72" s="249">
        <f t="shared" si="91"/>
        <v>0</v>
      </c>
      <c r="AH72" s="249" t="s">
        <v>390</v>
      </c>
      <c r="AI72" s="250">
        <f t="shared" si="102"/>
        <v>0.4</v>
      </c>
      <c r="AJ72" s="251" t="s">
        <v>275</v>
      </c>
      <c r="AK72" s="242">
        <f>IF(AJ72="",0,VLOOKUP(AJ72,成新率说明!$H$3:$I$6,2,0))</f>
        <v>12</v>
      </c>
      <c r="AL72" s="251" t="s">
        <v>400</v>
      </c>
      <c r="AM72" s="242">
        <f>IF(AL72="",0,VLOOKUP(AL72,成新率说明!$H$7:$I$11,2,0))</f>
        <v>20</v>
      </c>
      <c r="AN72" s="251" t="s">
        <v>275</v>
      </c>
      <c r="AO72" s="242">
        <f>IF(AN72="",0,VLOOKUP(AN72,成新率说明!$H$12:$I$15,2,0))</f>
        <v>18</v>
      </c>
      <c r="AP72" s="242">
        <f t="shared" si="103"/>
        <v>50</v>
      </c>
      <c r="AQ72" s="250">
        <f t="shared" si="104"/>
        <v>0.6</v>
      </c>
      <c r="AR72" s="251"/>
      <c r="AS72" s="251"/>
      <c r="AT72" s="265">
        <f t="shared" si="98"/>
        <v>0.5</v>
      </c>
      <c r="AU72" s="239">
        <f t="shared" si="99"/>
        <v>63</v>
      </c>
      <c r="AV72" s="227" t="s">
        <v>401</v>
      </c>
      <c r="AW72" s="272">
        <f>IF(AV72="",0,VLOOKUP(AV72,残值率参考表!$C$4:$D$23,2,0))</f>
        <v>0.1</v>
      </c>
      <c r="AX72" s="225"/>
      <c r="AY72" s="242">
        <f t="shared" si="100"/>
        <v>0</v>
      </c>
      <c r="AZ72" s="241"/>
      <c r="BA72" s="241"/>
      <c r="BB72" s="241"/>
      <c r="BC72" s="242">
        <f t="shared" si="105"/>
        <v>0</v>
      </c>
      <c r="BD72" s="251"/>
      <c r="BE72" s="239">
        <f t="shared" si="101"/>
        <v>5016</v>
      </c>
      <c r="BF72" s="275" t="str">
        <f t="shared" si="96"/>
        <v>扣除10%残值</v>
      </c>
    </row>
    <row r="73" s="156" customFormat="1" ht="22.15" customHeight="1" spans="1:58">
      <c r="A73" s="182">
        <f>设备类勘察表!A71</f>
        <v>67</v>
      </c>
      <c r="B73" s="182" t="str">
        <f>设备类勘察表!B71</f>
        <v>冷却池1</v>
      </c>
      <c r="C73" s="182">
        <f>设备类勘察表!C71</f>
        <v>0</v>
      </c>
      <c r="D73" s="182">
        <f>设备类勘察表!D71</f>
        <v>0</v>
      </c>
      <c r="E73" s="182" t="str">
        <f>设备类勘察表!G71</f>
        <v>m³</v>
      </c>
      <c r="F73" s="182">
        <f>设备类勘察表!F71</f>
        <v>30</v>
      </c>
      <c r="G73" s="183" t="s">
        <v>230</v>
      </c>
      <c r="H73" s="184">
        <f t="shared" ref="H73:H85" si="106">AB73</f>
        <v>20400</v>
      </c>
      <c r="I73" s="199">
        <f t="shared" ref="I73:I85" si="107">AT73</f>
        <v>0.6</v>
      </c>
      <c r="J73" s="199">
        <f t="shared" ref="J73:J85" si="108">AW73</f>
        <v>0</v>
      </c>
      <c r="K73" s="200">
        <f t="shared" ref="K73:K85" si="109">AU73</f>
        <v>122</v>
      </c>
      <c r="L73" s="182">
        <f t="shared" ref="L73:L85" si="110">AY73</f>
        <v>0</v>
      </c>
      <c r="M73" s="182">
        <f t="shared" ref="M73:M85" si="111">AZ73</f>
        <v>0</v>
      </c>
      <c r="N73" s="182">
        <f t="shared" ref="N73:N85" si="112">BA73</f>
        <v>0</v>
      </c>
      <c r="O73" s="182">
        <f t="shared" ref="O73:O85" si="113">BB73</f>
        <v>0</v>
      </c>
      <c r="P73" s="182">
        <f t="shared" ref="P73:P85" si="114">BC73</f>
        <v>0</v>
      </c>
      <c r="Q73" s="223">
        <f t="shared" ref="Q73:Q85" si="115">BE73</f>
        <v>12240</v>
      </c>
      <c r="R73" s="224" t="str">
        <f t="shared" ref="R73:R85" si="116">BF73</f>
        <v/>
      </c>
      <c r="S73" s="224"/>
      <c r="T73" s="202"/>
      <c r="U73" s="225">
        <v>680</v>
      </c>
      <c r="V73" s="225"/>
      <c r="W73" s="227"/>
      <c r="X73" s="227"/>
      <c r="Y73" s="227"/>
      <c r="Z73" s="227"/>
      <c r="AA73" s="227"/>
      <c r="AB73" s="239">
        <f t="shared" si="95"/>
        <v>20400</v>
      </c>
      <c r="AC73" s="240">
        <f>设备类勘察表!E71</f>
        <v>38353</v>
      </c>
      <c r="AD73" s="241"/>
      <c r="AE73" s="242">
        <f>IF(AD73=0,0,IF(G73="否",ROUND((设定!$C$4-机器设备及辅助设施评估明细表!AC73)/365,2),0))</f>
        <v>0</v>
      </c>
      <c r="AF73" s="242">
        <f t="shared" si="90"/>
        <v>0</v>
      </c>
      <c r="AG73" s="249">
        <f t="shared" si="91"/>
        <v>0</v>
      </c>
      <c r="AH73" s="249" t="s">
        <v>390</v>
      </c>
      <c r="AI73" s="250"/>
      <c r="AJ73" s="251" t="s">
        <v>275</v>
      </c>
      <c r="AK73" s="242">
        <f>IF(AJ73="",0,VLOOKUP(AJ73,成新率说明!$H$3:$I$6,2,0))</f>
        <v>12</v>
      </c>
      <c r="AL73" s="251" t="s">
        <v>275</v>
      </c>
      <c r="AM73" s="242">
        <f>IF(AL73="",0,VLOOKUP(AL73,成新率说明!$H$7:$I$11,2,0))</f>
        <v>30</v>
      </c>
      <c r="AN73" s="251" t="s">
        <v>275</v>
      </c>
      <c r="AO73" s="242">
        <f>IF(AN73="",0,VLOOKUP(AN73,成新率说明!$H$12:$I$15,2,0))</f>
        <v>18</v>
      </c>
      <c r="AP73" s="242">
        <f t="shared" ref="AP73:AP83" si="117">AK73+AM73+AO73</f>
        <v>60</v>
      </c>
      <c r="AQ73" s="250">
        <f t="shared" ref="AQ73:AQ82" si="118">IF(G73="否",IF($AM$3="是",60%,""),"")</f>
        <v>0.6</v>
      </c>
      <c r="AR73" s="251"/>
      <c r="AS73" s="251"/>
      <c r="AT73" s="265">
        <f t="shared" ref="AT73:AT85" si="119">IF(AH73="年限法",AG73/100,IF(AH73="勘察法",ROUND(AP73/100,2),ROUND(AG73*AI73/100+AP73*AQ73/100,2)))</f>
        <v>0.6</v>
      </c>
      <c r="AU73" s="239">
        <f t="shared" ref="AU73:AU85" si="120">ROUND(AB73*AT73/100,0)</f>
        <v>122</v>
      </c>
      <c r="AV73" s="227"/>
      <c r="AW73" s="272">
        <f>IF(AV73="",0,VLOOKUP(AV73,残值率参考表!$C$4:$D$23,2,0))</f>
        <v>0</v>
      </c>
      <c r="AX73" s="225"/>
      <c r="AY73" s="242">
        <f t="shared" si="100"/>
        <v>0</v>
      </c>
      <c r="AZ73" s="241"/>
      <c r="BA73" s="241"/>
      <c r="BB73" s="241"/>
      <c r="BC73" s="242">
        <f t="shared" si="105"/>
        <v>0</v>
      </c>
      <c r="BD73" s="251"/>
      <c r="BE73" s="239">
        <f t="shared" si="101"/>
        <v>12240</v>
      </c>
      <c r="BF73" s="275" t="str">
        <f t="shared" si="96"/>
        <v/>
      </c>
    </row>
    <row r="74" s="156" customFormat="1" ht="22.15" customHeight="1" spans="1:58">
      <c r="A74" s="182">
        <f>设备类勘察表!A72</f>
        <v>68</v>
      </c>
      <c r="B74" s="182" t="str">
        <f>设备类勘察表!B72</f>
        <v>冷却池2</v>
      </c>
      <c r="C74" s="182">
        <f>设备类勘察表!C72</f>
        <v>0</v>
      </c>
      <c r="D74" s="182">
        <f>设备类勘察表!D72</f>
        <v>0</v>
      </c>
      <c r="E74" s="182" t="str">
        <f>设备类勘察表!G72</f>
        <v>m³</v>
      </c>
      <c r="F74" s="182">
        <f>设备类勘察表!F72</f>
        <v>23</v>
      </c>
      <c r="G74" s="183" t="s">
        <v>230</v>
      </c>
      <c r="H74" s="184">
        <f t="shared" si="106"/>
        <v>15640</v>
      </c>
      <c r="I74" s="199">
        <f t="shared" si="107"/>
        <v>0.6</v>
      </c>
      <c r="J74" s="199">
        <f t="shared" si="108"/>
        <v>0</v>
      </c>
      <c r="K74" s="200">
        <f t="shared" si="109"/>
        <v>94</v>
      </c>
      <c r="L74" s="182">
        <f t="shared" si="110"/>
        <v>0</v>
      </c>
      <c r="M74" s="182">
        <f t="shared" si="111"/>
        <v>0</v>
      </c>
      <c r="N74" s="182">
        <f t="shared" si="112"/>
        <v>0</v>
      </c>
      <c r="O74" s="182">
        <f t="shared" si="113"/>
        <v>0</v>
      </c>
      <c r="P74" s="182">
        <f t="shared" si="114"/>
        <v>0</v>
      </c>
      <c r="Q74" s="223">
        <f t="shared" si="115"/>
        <v>9384</v>
      </c>
      <c r="R74" s="224" t="str">
        <f t="shared" si="116"/>
        <v/>
      </c>
      <c r="S74" s="224"/>
      <c r="T74" s="202"/>
      <c r="U74" s="225">
        <v>680</v>
      </c>
      <c r="V74" s="225"/>
      <c r="W74" s="227"/>
      <c r="X74" s="227"/>
      <c r="Y74" s="227"/>
      <c r="Z74" s="227"/>
      <c r="AA74" s="227"/>
      <c r="AB74" s="239">
        <f t="shared" si="95"/>
        <v>15640</v>
      </c>
      <c r="AC74" s="240">
        <f>设备类勘察表!E72</f>
        <v>38353</v>
      </c>
      <c r="AD74" s="241"/>
      <c r="AE74" s="242">
        <f>IF(AD74=0,0,IF(G74="否",ROUND((设定!$C$4-机器设备及辅助设施评估明细表!AC74)/365,2),0))</f>
        <v>0</v>
      </c>
      <c r="AF74" s="242">
        <f t="shared" si="90"/>
        <v>0</v>
      </c>
      <c r="AG74" s="249">
        <f t="shared" si="91"/>
        <v>0</v>
      </c>
      <c r="AH74" s="249" t="s">
        <v>390</v>
      </c>
      <c r="AI74" s="250"/>
      <c r="AJ74" s="251" t="s">
        <v>275</v>
      </c>
      <c r="AK74" s="242">
        <f>IF(AJ74="",0,VLOOKUP(AJ74,成新率说明!$H$3:$I$6,2,0))</f>
        <v>12</v>
      </c>
      <c r="AL74" s="251" t="s">
        <v>275</v>
      </c>
      <c r="AM74" s="242">
        <f>IF(AL74="",0,VLOOKUP(AL74,成新率说明!$H$7:$I$11,2,0))</f>
        <v>30</v>
      </c>
      <c r="AN74" s="251" t="s">
        <v>275</v>
      </c>
      <c r="AO74" s="242">
        <f>IF(AN74="",0,VLOOKUP(AN74,成新率说明!$H$12:$I$15,2,0))</f>
        <v>18</v>
      </c>
      <c r="AP74" s="242">
        <f t="shared" si="117"/>
        <v>60</v>
      </c>
      <c r="AQ74" s="250">
        <f t="shared" si="118"/>
        <v>0.6</v>
      </c>
      <c r="AR74" s="251"/>
      <c r="AS74" s="251"/>
      <c r="AT74" s="265">
        <f t="shared" si="119"/>
        <v>0.6</v>
      </c>
      <c r="AU74" s="239">
        <f t="shared" si="120"/>
        <v>94</v>
      </c>
      <c r="AV74" s="227"/>
      <c r="AW74" s="272">
        <f>IF(AV74="",0,VLOOKUP(AV74,残值率参考表!$C$4:$D$23,2,0))</f>
        <v>0</v>
      </c>
      <c r="AX74" s="225"/>
      <c r="AY74" s="242">
        <f t="shared" si="100"/>
        <v>0</v>
      </c>
      <c r="AZ74" s="241"/>
      <c r="BA74" s="241"/>
      <c r="BB74" s="241"/>
      <c r="BC74" s="242">
        <f t="shared" si="105"/>
        <v>0</v>
      </c>
      <c r="BD74" s="251"/>
      <c r="BE74" s="239">
        <f t="shared" si="101"/>
        <v>9384</v>
      </c>
      <c r="BF74" s="275" t="str">
        <f t="shared" si="96"/>
        <v/>
      </c>
    </row>
    <row r="75" s="156" customFormat="1" ht="22.15" customHeight="1" spans="1:58">
      <c r="A75" s="182">
        <f>设备类勘察表!A73</f>
        <v>69</v>
      </c>
      <c r="B75" s="182" t="str">
        <f>设备类勘察表!B73</f>
        <v>冷却池3</v>
      </c>
      <c r="C75" s="182"/>
      <c r="D75" s="182"/>
      <c r="E75" s="182" t="str">
        <f>设备类勘察表!G73</f>
        <v>m³</v>
      </c>
      <c r="F75" s="182">
        <f>设备类勘察表!F73</f>
        <v>19</v>
      </c>
      <c r="G75" s="183" t="s">
        <v>230</v>
      </c>
      <c r="H75" s="184">
        <f t="shared" si="106"/>
        <v>12920</v>
      </c>
      <c r="I75" s="199">
        <f t="shared" si="107"/>
        <v>0.6</v>
      </c>
      <c r="J75" s="199">
        <f t="shared" si="108"/>
        <v>0</v>
      </c>
      <c r="K75" s="200">
        <f t="shared" si="109"/>
        <v>78</v>
      </c>
      <c r="L75" s="182">
        <f t="shared" si="110"/>
        <v>0</v>
      </c>
      <c r="M75" s="182">
        <f t="shared" si="111"/>
        <v>0</v>
      </c>
      <c r="N75" s="182">
        <f t="shared" si="112"/>
        <v>0</v>
      </c>
      <c r="O75" s="182">
        <f t="shared" si="113"/>
        <v>0</v>
      </c>
      <c r="P75" s="182">
        <f t="shared" si="114"/>
        <v>0</v>
      </c>
      <c r="Q75" s="223">
        <f t="shared" si="115"/>
        <v>7752</v>
      </c>
      <c r="R75" s="224" t="str">
        <f t="shared" si="116"/>
        <v/>
      </c>
      <c r="S75" s="224"/>
      <c r="T75" s="202"/>
      <c r="U75" s="225">
        <v>680</v>
      </c>
      <c r="V75" s="225"/>
      <c r="W75" s="227"/>
      <c r="X75" s="227"/>
      <c r="Y75" s="227"/>
      <c r="Z75" s="227"/>
      <c r="AA75" s="227"/>
      <c r="AB75" s="239">
        <f t="shared" si="95"/>
        <v>12920</v>
      </c>
      <c r="AC75" s="240" t="str">
        <f>设备类勘察表!E73</f>
        <v>2006年1月</v>
      </c>
      <c r="AD75" s="241"/>
      <c r="AE75" s="242">
        <f>IF(AD75=0,0,IF(G75="否",ROUND((设定!$C$4-机器设备及辅助设施评估明细表!AC75)/365,2),0))</f>
        <v>0</v>
      </c>
      <c r="AF75" s="242">
        <f t="shared" si="90"/>
        <v>0</v>
      </c>
      <c r="AG75" s="249">
        <f t="shared" si="91"/>
        <v>0</v>
      </c>
      <c r="AH75" s="249" t="s">
        <v>390</v>
      </c>
      <c r="AI75" s="250"/>
      <c r="AJ75" s="251" t="s">
        <v>275</v>
      </c>
      <c r="AK75" s="242">
        <f>IF(AJ75="",0,VLOOKUP(AJ75,成新率说明!$H$3:$I$6,2,0))</f>
        <v>12</v>
      </c>
      <c r="AL75" s="251" t="s">
        <v>275</v>
      </c>
      <c r="AM75" s="242">
        <f>IF(AL75="",0,VLOOKUP(AL75,成新率说明!$H$7:$I$11,2,0))</f>
        <v>30</v>
      </c>
      <c r="AN75" s="251" t="s">
        <v>275</v>
      </c>
      <c r="AO75" s="242">
        <f>IF(AN75="",0,VLOOKUP(AN75,成新率说明!$H$12:$I$15,2,0))</f>
        <v>18</v>
      </c>
      <c r="AP75" s="242">
        <f t="shared" si="117"/>
        <v>60</v>
      </c>
      <c r="AQ75" s="250">
        <f t="shared" si="118"/>
        <v>0.6</v>
      </c>
      <c r="AR75" s="251"/>
      <c r="AS75" s="251"/>
      <c r="AT75" s="265">
        <f t="shared" si="119"/>
        <v>0.6</v>
      </c>
      <c r="AU75" s="239">
        <f t="shared" si="120"/>
        <v>78</v>
      </c>
      <c r="AV75" s="227"/>
      <c r="AW75" s="272">
        <f>IF(AV75="",0,VLOOKUP(AV75,残值率参考表!$C$4:$D$23,2,0))</f>
        <v>0</v>
      </c>
      <c r="AX75" s="225"/>
      <c r="AY75" s="242">
        <f t="shared" si="100"/>
        <v>0</v>
      </c>
      <c r="AZ75" s="241"/>
      <c r="BA75" s="241"/>
      <c r="BB75" s="241"/>
      <c r="BC75" s="242">
        <f t="shared" si="105"/>
        <v>0</v>
      </c>
      <c r="BD75" s="251"/>
      <c r="BE75" s="239">
        <f t="shared" si="101"/>
        <v>7752</v>
      </c>
      <c r="BF75" s="275" t="str">
        <f t="shared" si="96"/>
        <v/>
      </c>
    </row>
    <row r="76" s="156" customFormat="1" ht="22.15" customHeight="1" spans="1:58">
      <c r="A76" s="182">
        <f>设备类勘察表!A74</f>
        <v>70</v>
      </c>
      <c r="B76" s="182" t="str">
        <f>设备类勘察表!B74</f>
        <v>冷却塔</v>
      </c>
      <c r="C76" s="182"/>
      <c r="D76" s="182"/>
      <c r="E76" s="182" t="str">
        <f>设备类勘察表!G74</f>
        <v>个</v>
      </c>
      <c r="F76" s="182">
        <f>设备类勘察表!F74</f>
        <v>1</v>
      </c>
      <c r="G76" s="183" t="s">
        <v>230</v>
      </c>
      <c r="H76" s="184">
        <f t="shared" si="106"/>
        <v>3000</v>
      </c>
      <c r="I76" s="199">
        <f t="shared" si="107"/>
        <v>0.8</v>
      </c>
      <c r="J76" s="199">
        <f t="shared" si="108"/>
        <v>0</v>
      </c>
      <c r="K76" s="200">
        <f t="shared" si="109"/>
        <v>24</v>
      </c>
      <c r="L76" s="182">
        <f t="shared" si="110"/>
        <v>0</v>
      </c>
      <c r="M76" s="182">
        <f t="shared" si="111"/>
        <v>0</v>
      </c>
      <c r="N76" s="182">
        <f t="shared" si="112"/>
        <v>0</v>
      </c>
      <c r="O76" s="182">
        <f t="shared" si="113"/>
        <v>0</v>
      </c>
      <c r="P76" s="182">
        <f t="shared" si="114"/>
        <v>0</v>
      </c>
      <c r="Q76" s="223">
        <f t="shared" si="115"/>
        <v>2400</v>
      </c>
      <c r="R76" s="224" t="str">
        <f t="shared" si="116"/>
        <v/>
      </c>
      <c r="S76" s="224"/>
      <c r="T76" s="202"/>
      <c r="U76" s="225">
        <v>3000</v>
      </c>
      <c r="V76" s="225"/>
      <c r="W76" s="227"/>
      <c r="X76" s="227"/>
      <c r="Y76" s="227"/>
      <c r="Z76" s="227"/>
      <c r="AA76" s="227"/>
      <c r="AB76" s="239">
        <f t="shared" si="95"/>
        <v>3000</v>
      </c>
      <c r="AC76" s="240">
        <f>设备类勘察表!E74</f>
        <v>42370</v>
      </c>
      <c r="AD76" s="241"/>
      <c r="AE76" s="242">
        <f>IF(AD76=0,0,IF(G76="否",ROUND((设定!$C$4-机器设备及辅助设施评估明细表!AC76)/365,2),0))</f>
        <v>0</v>
      </c>
      <c r="AF76" s="242">
        <f t="shared" si="90"/>
        <v>0</v>
      </c>
      <c r="AG76" s="249">
        <f t="shared" si="91"/>
        <v>0</v>
      </c>
      <c r="AH76" s="249" t="s">
        <v>390</v>
      </c>
      <c r="AI76" s="250"/>
      <c r="AJ76" s="251" t="s">
        <v>402</v>
      </c>
      <c r="AK76" s="242">
        <f>IF(AJ76="",0,VLOOKUP(AJ76,成新率说明!$H$3:$I$6,2,0))</f>
        <v>16</v>
      </c>
      <c r="AL76" s="251" t="s">
        <v>403</v>
      </c>
      <c r="AM76" s="242">
        <f>IF(AL76="",0,VLOOKUP(AL76,成新率说明!$H$7:$I$11,2,0))</f>
        <v>40</v>
      </c>
      <c r="AN76" s="251" t="s">
        <v>402</v>
      </c>
      <c r="AO76" s="242">
        <f>IF(AN76="",0,VLOOKUP(AN76,成新率说明!$H$12:$I$15,2,0))</f>
        <v>24</v>
      </c>
      <c r="AP76" s="242">
        <f t="shared" si="117"/>
        <v>80</v>
      </c>
      <c r="AQ76" s="250">
        <f t="shared" si="118"/>
        <v>0.6</v>
      </c>
      <c r="AR76" s="251"/>
      <c r="AS76" s="251"/>
      <c r="AT76" s="265">
        <f t="shared" si="119"/>
        <v>0.8</v>
      </c>
      <c r="AU76" s="239">
        <f t="shared" si="120"/>
        <v>24</v>
      </c>
      <c r="AV76" s="227"/>
      <c r="AW76" s="272">
        <f>IF(AV76="",0,VLOOKUP(AV76,残值率参考表!$C$4:$D$23,2,0))</f>
        <v>0</v>
      </c>
      <c r="AX76" s="225"/>
      <c r="AY76" s="242">
        <f t="shared" si="100"/>
        <v>0</v>
      </c>
      <c r="AZ76" s="241"/>
      <c r="BA76" s="241"/>
      <c r="BB76" s="241"/>
      <c r="BC76" s="242">
        <f t="shared" si="105"/>
        <v>0</v>
      </c>
      <c r="BD76" s="251"/>
      <c r="BE76" s="239">
        <f t="shared" si="101"/>
        <v>2400</v>
      </c>
      <c r="BF76" s="275" t="str">
        <f t="shared" si="96"/>
        <v/>
      </c>
    </row>
    <row r="77" s="156" customFormat="1" ht="22.15" hidden="1" customHeight="1" spans="1:58">
      <c r="A77" s="182"/>
      <c r="B77" s="182"/>
      <c r="C77" s="182"/>
      <c r="D77" s="182"/>
      <c r="E77" s="182"/>
      <c r="F77" s="182"/>
      <c r="G77" s="183"/>
      <c r="H77" s="184">
        <f t="shared" si="106"/>
        <v>0</v>
      </c>
      <c r="I77" s="199">
        <f t="shared" si="107"/>
        <v>0</v>
      </c>
      <c r="J77" s="199">
        <f t="shared" si="108"/>
        <v>0</v>
      </c>
      <c r="K77" s="200">
        <f t="shared" si="109"/>
        <v>0</v>
      </c>
      <c r="L77" s="182">
        <f t="shared" si="110"/>
        <v>0</v>
      </c>
      <c r="M77" s="182">
        <f t="shared" si="111"/>
        <v>0</v>
      </c>
      <c r="N77" s="182">
        <f t="shared" si="112"/>
        <v>0</v>
      </c>
      <c r="O77" s="182">
        <f t="shared" si="113"/>
        <v>0</v>
      </c>
      <c r="P77" s="182">
        <f t="shared" si="114"/>
        <v>0</v>
      </c>
      <c r="Q77" s="223">
        <f t="shared" si="115"/>
        <v>0</v>
      </c>
      <c r="R77" s="224" t="str">
        <f t="shared" si="116"/>
        <v/>
      </c>
      <c r="S77" s="224"/>
      <c r="T77" s="202"/>
      <c r="U77" s="225"/>
      <c r="V77" s="225"/>
      <c r="W77" s="227"/>
      <c r="X77" s="227"/>
      <c r="Y77" s="227"/>
      <c r="Z77" s="227"/>
      <c r="AA77" s="227"/>
      <c r="AB77" s="239">
        <f t="shared" si="95"/>
        <v>0</v>
      </c>
      <c r="AC77" s="240">
        <f>设备类勘察表!E95</f>
        <v>0</v>
      </c>
      <c r="AD77" s="241"/>
      <c r="AE77" s="242">
        <f>IF(AD77=0,0,IF(G77="否",ROUND((设定!$C$4-机器设备及辅助设施评估明细表!AC77)/365,2),0))</f>
        <v>0</v>
      </c>
      <c r="AF77" s="242">
        <f t="shared" si="90"/>
        <v>0</v>
      </c>
      <c r="AG77" s="249">
        <f t="shared" si="91"/>
        <v>0</v>
      </c>
      <c r="AH77" s="249"/>
      <c r="AI77" s="250"/>
      <c r="AJ77" s="251"/>
      <c r="AK77" s="242">
        <f>IF(AJ77="",0,VLOOKUP(AJ77,成新率说明!$H$3:$I$6,2,0))</f>
        <v>0</v>
      </c>
      <c r="AL77" s="251"/>
      <c r="AM77" s="242">
        <f>IF(AL77="",0,VLOOKUP(AL77,成新率说明!$H$7:$I$11,2,0))</f>
        <v>0</v>
      </c>
      <c r="AN77" s="251"/>
      <c r="AO77" s="242">
        <f>IF(AN77="",0,VLOOKUP(AN77,成新率说明!$H$12:$I$15,2,0))</f>
        <v>0</v>
      </c>
      <c r="AP77" s="242">
        <f t="shared" si="117"/>
        <v>0</v>
      </c>
      <c r="AQ77" s="250" t="str">
        <f t="shared" si="118"/>
        <v/>
      </c>
      <c r="AR77" s="251"/>
      <c r="AS77" s="251"/>
      <c r="AT77" s="265"/>
      <c r="AU77" s="239"/>
      <c r="AV77" s="227"/>
      <c r="AW77" s="272"/>
      <c r="AX77" s="225"/>
      <c r="AY77" s="242">
        <f t="shared" ref="AY77:AY119" si="121">ROUND(BA77/2,1)</f>
        <v>0</v>
      </c>
      <c r="AZ77" s="241"/>
      <c r="BA77" s="241"/>
      <c r="BB77" s="241"/>
      <c r="BC77" s="242">
        <f t="shared" si="105"/>
        <v>0</v>
      </c>
      <c r="BD77" s="251"/>
      <c r="BE77" s="239">
        <f t="shared" si="101"/>
        <v>0</v>
      </c>
      <c r="BF77" s="275" t="str">
        <f t="shared" si="96"/>
        <v/>
      </c>
    </row>
    <row r="78" s="156" customFormat="1" ht="22.15" hidden="1" customHeight="1" spans="1:58">
      <c r="A78" s="182"/>
      <c r="B78" s="182"/>
      <c r="C78" s="182"/>
      <c r="D78" s="182"/>
      <c r="E78" s="182"/>
      <c r="F78" s="182"/>
      <c r="G78" s="183"/>
      <c r="H78" s="184">
        <f t="shared" si="106"/>
        <v>0</v>
      </c>
      <c r="I78" s="199">
        <f t="shared" si="107"/>
        <v>0</v>
      </c>
      <c r="J78" s="199">
        <f t="shared" si="108"/>
        <v>0</v>
      </c>
      <c r="K78" s="200">
        <f t="shared" si="109"/>
        <v>0</v>
      </c>
      <c r="L78" s="182">
        <f t="shared" si="110"/>
        <v>0</v>
      </c>
      <c r="M78" s="182">
        <f t="shared" si="111"/>
        <v>0</v>
      </c>
      <c r="N78" s="182">
        <f t="shared" si="112"/>
        <v>0</v>
      </c>
      <c r="O78" s="182">
        <f t="shared" si="113"/>
        <v>0</v>
      </c>
      <c r="P78" s="182">
        <f t="shared" si="114"/>
        <v>0</v>
      </c>
      <c r="Q78" s="223">
        <f t="shared" si="115"/>
        <v>0</v>
      </c>
      <c r="R78" s="224" t="str">
        <f t="shared" si="116"/>
        <v/>
      </c>
      <c r="S78" s="224"/>
      <c r="T78" s="202"/>
      <c r="U78" s="225"/>
      <c r="V78" s="225"/>
      <c r="W78" s="227"/>
      <c r="X78" s="227"/>
      <c r="Y78" s="227"/>
      <c r="Z78" s="227"/>
      <c r="AA78" s="227"/>
      <c r="AB78" s="239">
        <f t="shared" si="95"/>
        <v>0</v>
      </c>
      <c r="AC78" s="240">
        <f>设备类勘察表!E96</f>
        <v>0</v>
      </c>
      <c r="AD78" s="241"/>
      <c r="AE78" s="242">
        <f>IF(AD78=0,0,IF(G78="否",ROUND((设定!$C$4-机器设备及辅助设施评估明细表!AC78)/365,2),0))</f>
        <v>0</v>
      </c>
      <c r="AF78" s="242">
        <f t="shared" si="90"/>
        <v>0</v>
      </c>
      <c r="AG78" s="249">
        <f t="shared" si="91"/>
        <v>0</v>
      </c>
      <c r="AH78" s="249"/>
      <c r="AI78" s="250"/>
      <c r="AJ78" s="251"/>
      <c r="AK78" s="242">
        <f>IF(AJ78="",0,VLOOKUP(AJ78,成新率说明!$H$3:$I$6,2,0))</f>
        <v>0</v>
      </c>
      <c r="AL78" s="251"/>
      <c r="AM78" s="242">
        <f>IF(AL78="",0,VLOOKUP(AL78,成新率说明!$H$7:$I$11,2,0))</f>
        <v>0</v>
      </c>
      <c r="AN78" s="251"/>
      <c r="AO78" s="242">
        <f>IF(AN78="",0,VLOOKUP(AN78,成新率说明!$H$12:$I$15,2,0))</f>
        <v>0</v>
      </c>
      <c r="AP78" s="242">
        <f t="shared" si="117"/>
        <v>0</v>
      </c>
      <c r="AQ78" s="250" t="str">
        <f t="shared" si="118"/>
        <v/>
      </c>
      <c r="AR78" s="251"/>
      <c r="AS78" s="251"/>
      <c r="AT78" s="265"/>
      <c r="AU78" s="239"/>
      <c r="AV78" s="227"/>
      <c r="AW78" s="272"/>
      <c r="AX78" s="225"/>
      <c r="AY78" s="242">
        <f t="shared" si="121"/>
        <v>0</v>
      </c>
      <c r="AZ78" s="241"/>
      <c r="BA78" s="241"/>
      <c r="BB78" s="241"/>
      <c r="BC78" s="242">
        <f t="shared" si="105"/>
        <v>0</v>
      </c>
      <c r="BD78" s="251"/>
      <c r="BE78" s="239">
        <f t="shared" si="101"/>
        <v>0</v>
      </c>
      <c r="BF78" s="275" t="str">
        <f t="shared" si="96"/>
        <v/>
      </c>
    </row>
    <row r="79" s="156" customFormat="1" ht="22.15" hidden="1" customHeight="1" spans="1:58">
      <c r="A79" s="182"/>
      <c r="B79" s="182"/>
      <c r="C79" s="182"/>
      <c r="D79" s="182"/>
      <c r="E79" s="182"/>
      <c r="F79" s="182"/>
      <c r="G79" s="183"/>
      <c r="H79" s="184">
        <f t="shared" si="106"/>
        <v>0</v>
      </c>
      <c r="I79" s="199">
        <f t="shared" si="107"/>
        <v>0</v>
      </c>
      <c r="J79" s="199">
        <f t="shared" si="108"/>
        <v>0</v>
      </c>
      <c r="K79" s="200">
        <f t="shared" si="109"/>
        <v>0</v>
      </c>
      <c r="L79" s="182">
        <f t="shared" si="110"/>
        <v>0</v>
      </c>
      <c r="M79" s="182">
        <f t="shared" si="111"/>
        <v>0</v>
      </c>
      <c r="N79" s="182">
        <f t="shared" si="112"/>
        <v>0</v>
      </c>
      <c r="O79" s="182">
        <f t="shared" si="113"/>
        <v>0</v>
      </c>
      <c r="P79" s="182">
        <f t="shared" si="114"/>
        <v>0</v>
      </c>
      <c r="Q79" s="223">
        <f t="shared" si="115"/>
        <v>0</v>
      </c>
      <c r="R79" s="224" t="str">
        <f t="shared" si="116"/>
        <v/>
      </c>
      <c r="S79" s="224"/>
      <c r="T79" s="202"/>
      <c r="U79" s="225"/>
      <c r="V79" s="225"/>
      <c r="W79" s="227"/>
      <c r="X79" s="227"/>
      <c r="Y79" s="227"/>
      <c r="Z79" s="227"/>
      <c r="AA79" s="227"/>
      <c r="AB79" s="239">
        <f t="shared" si="95"/>
        <v>0</v>
      </c>
      <c r="AC79" s="240">
        <f>设备类勘察表!E97</f>
        <v>0</v>
      </c>
      <c r="AD79" s="241"/>
      <c r="AE79" s="242">
        <f>IF(AD79=0,0,IF(G79="否",ROUND((设定!$C$4-机器设备及辅助设施评估明细表!AC79)/365,2),0))</f>
        <v>0</v>
      </c>
      <c r="AF79" s="242">
        <f t="shared" si="90"/>
        <v>0</v>
      </c>
      <c r="AG79" s="249">
        <f t="shared" si="91"/>
        <v>0</v>
      </c>
      <c r="AH79" s="249"/>
      <c r="AI79" s="250"/>
      <c r="AJ79" s="251"/>
      <c r="AK79" s="242">
        <f>IF(AJ79="",0,VLOOKUP(AJ79,成新率说明!$H$3:$I$6,2,0))</f>
        <v>0</v>
      </c>
      <c r="AL79" s="251"/>
      <c r="AM79" s="242">
        <f>IF(AL79="",0,VLOOKUP(AL79,成新率说明!$H$7:$I$11,2,0))</f>
        <v>0</v>
      </c>
      <c r="AN79" s="251"/>
      <c r="AO79" s="242">
        <f>IF(AN79="",0,VLOOKUP(AN79,成新率说明!$H$12:$I$15,2,0))</f>
        <v>0</v>
      </c>
      <c r="AP79" s="242">
        <f t="shared" si="117"/>
        <v>0</v>
      </c>
      <c r="AQ79" s="250" t="str">
        <f t="shared" si="118"/>
        <v/>
      </c>
      <c r="AR79" s="251"/>
      <c r="AS79" s="251"/>
      <c r="AT79" s="265"/>
      <c r="AU79" s="239"/>
      <c r="AV79" s="227"/>
      <c r="AW79" s="272"/>
      <c r="AX79" s="225"/>
      <c r="AY79" s="242">
        <f t="shared" si="121"/>
        <v>0</v>
      </c>
      <c r="AZ79" s="241"/>
      <c r="BA79" s="241"/>
      <c r="BB79" s="241"/>
      <c r="BC79" s="242">
        <f t="shared" ref="BC79:BC115" si="122">AY79+AZ79+BA79+BB79</f>
        <v>0</v>
      </c>
      <c r="BD79" s="251"/>
      <c r="BE79" s="239">
        <f t="shared" si="101"/>
        <v>0</v>
      </c>
      <c r="BF79" s="275" t="str">
        <f t="shared" si="96"/>
        <v/>
      </c>
    </row>
    <row r="80" s="156" customFormat="1" ht="22.15" hidden="1" customHeight="1" spans="1:58">
      <c r="A80" s="182"/>
      <c r="B80" s="182"/>
      <c r="C80" s="182"/>
      <c r="D80" s="182"/>
      <c r="E80" s="182"/>
      <c r="F80" s="182"/>
      <c r="G80" s="183"/>
      <c r="H80" s="184">
        <f t="shared" si="106"/>
        <v>0</v>
      </c>
      <c r="I80" s="199">
        <f t="shared" si="107"/>
        <v>0</v>
      </c>
      <c r="J80" s="199">
        <f t="shared" si="108"/>
        <v>0</v>
      </c>
      <c r="K80" s="200">
        <f t="shared" si="109"/>
        <v>0</v>
      </c>
      <c r="L80" s="182">
        <f t="shared" si="110"/>
        <v>0</v>
      </c>
      <c r="M80" s="182">
        <f t="shared" si="111"/>
        <v>0</v>
      </c>
      <c r="N80" s="182">
        <f t="shared" si="112"/>
        <v>0</v>
      </c>
      <c r="O80" s="182">
        <f t="shared" si="113"/>
        <v>0</v>
      </c>
      <c r="P80" s="182">
        <f t="shared" si="114"/>
        <v>0</v>
      </c>
      <c r="Q80" s="223">
        <f t="shared" si="115"/>
        <v>0</v>
      </c>
      <c r="R80" s="224" t="str">
        <f t="shared" si="116"/>
        <v/>
      </c>
      <c r="S80" s="224"/>
      <c r="T80" s="202"/>
      <c r="U80" s="225"/>
      <c r="V80" s="225"/>
      <c r="W80" s="227"/>
      <c r="X80" s="227"/>
      <c r="Y80" s="227"/>
      <c r="Z80" s="227"/>
      <c r="AA80" s="227"/>
      <c r="AB80" s="239">
        <f t="shared" si="95"/>
        <v>0</v>
      </c>
      <c r="AC80" s="240">
        <f>设备类勘察表!E98</f>
        <v>0</v>
      </c>
      <c r="AD80" s="241"/>
      <c r="AE80" s="242">
        <f>IF(AD80=0,0,IF(G80="否",ROUND((设定!$C$4-机器设备及辅助设施评估明细表!AC80)/365,2),0))</f>
        <v>0</v>
      </c>
      <c r="AF80" s="242">
        <f t="shared" si="90"/>
        <v>0</v>
      </c>
      <c r="AG80" s="249">
        <f t="shared" si="91"/>
        <v>0</v>
      </c>
      <c r="AH80" s="249"/>
      <c r="AI80" s="250"/>
      <c r="AJ80" s="251"/>
      <c r="AK80" s="242">
        <f>IF(AJ80="",0,VLOOKUP(AJ80,成新率说明!$H$3:$I$6,2,0))</f>
        <v>0</v>
      </c>
      <c r="AL80" s="251"/>
      <c r="AM80" s="242">
        <f>IF(AL80="",0,VLOOKUP(AL80,成新率说明!$H$7:$I$11,2,0))</f>
        <v>0</v>
      </c>
      <c r="AN80" s="251"/>
      <c r="AO80" s="242">
        <f>IF(AN80="",0,VLOOKUP(AN80,成新率说明!$H$12:$I$15,2,0))</f>
        <v>0</v>
      </c>
      <c r="AP80" s="242">
        <f t="shared" si="117"/>
        <v>0</v>
      </c>
      <c r="AQ80" s="250" t="str">
        <f t="shared" si="118"/>
        <v/>
      </c>
      <c r="AR80" s="251"/>
      <c r="AS80" s="251"/>
      <c r="AT80" s="265"/>
      <c r="AU80" s="239"/>
      <c r="AV80" s="227"/>
      <c r="AW80" s="272"/>
      <c r="AX80" s="225"/>
      <c r="AY80" s="242">
        <f t="shared" si="121"/>
        <v>0</v>
      </c>
      <c r="AZ80" s="241"/>
      <c r="BA80" s="241"/>
      <c r="BB80" s="241"/>
      <c r="BC80" s="242">
        <f t="shared" si="122"/>
        <v>0</v>
      </c>
      <c r="BD80" s="251"/>
      <c r="BE80" s="239">
        <f t="shared" si="101"/>
        <v>0</v>
      </c>
      <c r="BF80" s="275" t="str">
        <f t="shared" si="96"/>
        <v/>
      </c>
    </row>
    <row r="81" s="156" customFormat="1" ht="22.15" hidden="1" customHeight="1" spans="1:58">
      <c r="A81" s="182"/>
      <c r="B81" s="182"/>
      <c r="C81" s="182"/>
      <c r="D81" s="182"/>
      <c r="E81" s="182"/>
      <c r="F81" s="182"/>
      <c r="G81" s="183"/>
      <c r="H81" s="184">
        <f t="shared" si="106"/>
        <v>0</v>
      </c>
      <c r="I81" s="199">
        <f t="shared" si="107"/>
        <v>0</v>
      </c>
      <c r="J81" s="199">
        <f t="shared" si="108"/>
        <v>0</v>
      </c>
      <c r="K81" s="200">
        <f t="shared" si="109"/>
        <v>0</v>
      </c>
      <c r="L81" s="182">
        <f t="shared" si="110"/>
        <v>0</v>
      </c>
      <c r="M81" s="182">
        <f t="shared" si="111"/>
        <v>0</v>
      </c>
      <c r="N81" s="182">
        <f t="shared" si="112"/>
        <v>0</v>
      </c>
      <c r="O81" s="182">
        <f t="shared" si="113"/>
        <v>0</v>
      </c>
      <c r="P81" s="182">
        <f t="shared" si="114"/>
        <v>0</v>
      </c>
      <c r="Q81" s="223">
        <f t="shared" si="115"/>
        <v>0</v>
      </c>
      <c r="R81" s="224" t="str">
        <f t="shared" si="116"/>
        <v/>
      </c>
      <c r="S81" s="224"/>
      <c r="T81" s="202"/>
      <c r="U81" s="225"/>
      <c r="V81" s="225"/>
      <c r="W81" s="227"/>
      <c r="X81" s="227"/>
      <c r="Y81" s="227"/>
      <c r="Z81" s="227"/>
      <c r="AA81" s="227"/>
      <c r="AB81" s="239">
        <f t="shared" si="95"/>
        <v>0</v>
      </c>
      <c r="AC81" s="240">
        <f>设备类勘察表!E99</f>
        <v>0</v>
      </c>
      <c r="AD81" s="241"/>
      <c r="AE81" s="242">
        <f>IF(AD81=0,0,IF(G81="否",ROUND((设定!$C$4-机器设备及辅助设施评估明细表!AC81)/365,2),0))</f>
        <v>0</v>
      </c>
      <c r="AF81" s="242">
        <f t="shared" si="90"/>
        <v>0</v>
      </c>
      <c r="AG81" s="249">
        <f t="shared" si="91"/>
        <v>0</v>
      </c>
      <c r="AH81" s="249"/>
      <c r="AI81" s="250"/>
      <c r="AJ81" s="251"/>
      <c r="AK81" s="242">
        <f>IF(AJ81="",0,VLOOKUP(AJ81,成新率说明!$H$3:$I$6,2,0))</f>
        <v>0</v>
      </c>
      <c r="AL81" s="251"/>
      <c r="AM81" s="242">
        <f>IF(AL81="",0,VLOOKUP(AL81,成新率说明!$H$7:$I$11,2,0))</f>
        <v>0</v>
      </c>
      <c r="AN81" s="251"/>
      <c r="AO81" s="242">
        <f>IF(AN81="",0,VLOOKUP(AN81,成新率说明!$H$12:$I$15,2,0))</f>
        <v>0</v>
      </c>
      <c r="AP81" s="242">
        <f t="shared" si="117"/>
        <v>0</v>
      </c>
      <c r="AQ81" s="250" t="str">
        <f t="shared" si="118"/>
        <v/>
      </c>
      <c r="AR81" s="251"/>
      <c r="AS81" s="251"/>
      <c r="AT81" s="265"/>
      <c r="AU81" s="239"/>
      <c r="AV81" s="227"/>
      <c r="AW81" s="272"/>
      <c r="AX81" s="225"/>
      <c r="AY81" s="242">
        <f t="shared" si="121"/>
        <v>0</v>
      </c>
      <c r="AZ81" s="241"/>
      <c r="BA81" s="241"/>
      <c r="BB81" s="241"/>
      <c r="BC81" s="242">
        <f t="shared" si="122"/>
        <v>0</v>
      </c>
      <c r="BD81" s="251"/>
      <c r="BE81" s="239">
        <f t="shared" si="101"/>
        <v>0</v>
      </c>
      <c r="BF81" s="275" t="str">
        <f t="shared" si="96"/>
        <v/>
      </c>
    </row>
    <row r="82" s="156" customFormat="1" ht="22.15" hidden="1" customHeight="1" spans="1:58">
      <c r="A82" s="182"/>
      <c r="B82" s="182"/>
      <c r="C82" s="182"/>
      <c r="D82" s="182"/>
      <c r="E82" s="182"/>
      <c r="F82" s="182"/>
      <c r="G82" s="183"/>
      <c r="H82" s="184">
        <f t="shared" si="106"/>
        <v>0</v>
      </c>
      <c r="I82" s="199">
        <f t="shared" si="107"/>
        <v>0</v>
      </c>
      <c r="J82" s="199">
        <f t="shared" si="108"/>
        <v>0</v>
      </c>
      <c r="K82" s="200">
        <f t="shared" si="109"/>
        <v>0</v>
      </c>
      <c r="L82" s="182">
        <f t="shared" si="110"/>
        <v>0</v>
      </c>
      <c r="M82" s="182">
        <f t="shared" si="111"/>
        <v>0</v>
      </c>
      <c r="N82" s="182">
        <f t="shared" si="112"/>
        <v>0</v>
      </c>
      <c r="O82" s="182">
        <f t="shared" si="113"/>
        <v>0</v>
      </c>
      <c r="P82" s="182">
        <f t="shared" si="114"/>
        <v>0</v>
      </c>
      <c r="Q82" s="223">
        <f t="shared" si="115"/>
        <v>0</v>
      </c>
      <c r="R82" s="224" t="str">
        <f t="shared" si="116"/>
        <v/>
      </c>
      <c r="S82" s="224"/>
      <c r="T82" s="202"/>
      <c r="U82" s="225"/>
      <c r="V82" s="225"/>
      <c r="W82" s="227"/>
      <c r="X82" s="227"/>
      <c r="Y82" s="227"/>
      <c r="Z82" s="227"/>
      <c r="AA82" s="227"/>
      <c r="AB82" s="239">
        <f t="shared" si="95"/>
        <v>0</v>
      </c>
      <c r="AC82" s="240">
        <f>设备类勘察表!E100</f>
        <v>0</v>
      </c>
      <c r="AD82" s="241"/>
      <c r="AE82" s="242">
        <f>IF(AD82=0,0,IF(G82="否",ROUND((设定!$C$4-机器设备及辅助设施评估明细表!AC82)/365,2),0))</f>
        <v>0</v>
      </c>
      <c r="AF82" s="242">
        <f t="shared" si="90"/>
        <v>0</v>
      </c>
      <c r="AG82" s="249">
        <f t="shared" si="91"/>
        <v>0</v>
      </c>
      <c r="AH82" s="249"/>
      <c r="AI82" s="250"/>
      <c r="AJ82" s="251"/>
      <c r="AK82" s="242">
        <f>IF(AJ82="",0,VLOOKUP(AJ82,成新率说明!$H$3:$I$6,2,0))</f>
        <v>0</v>
      </c>
      <c r="AL82" s="251"/>
      <c r="AM82" s="242">
        <f>IF(AL82="",0,VLOOKUP(AL82,成新率说明!$H$7:$I$11,2,0))</f>
        <v>0</v>
      </c>
      <c r="AN82" s="251"/>
      <c r="AO82" s="242">
        <f>IF(AN82="",0,VLOOKUP(AN82,成新率说明!$H$12:$I$15,2,0))</f>
        <v>0</v>
      </c>
      <c r="AP82" s="242">
        <f t="shared" si="117"/>
        <v>0</v>
      </c>
      <c r="AQ82" s="250" t="str">
        <f t="shared" si="118"/>
        <v/>
      </c>
      <c r="AR82" s="251"/>
      <c r="AS82" s="251"/>
      <c r="AT82" s="265"/>
      <c r="AU82" s="239"/>
      <c r="AV82" s="227"/>
      <c r="AW82" s="272">
        <f>IF(AV82="",0,VLOOKUP(AV82,残值率参考表!$C$4:$D$23,2,0))</f>
        <v>0</v>
      </c>
      <c r="AX82" s="225"/>
      <c r="AY82" s="242">
        <f t="shared" si="121"/>
        <v>0</v>
      </c>
      <c r="AZ82" s="241"/>
      <c r="BA82" s="241"/>
      <c r="BB82" s="241"/>
      <c r="BC82" s="242">
        <f t="shared" si="122"/>
        <v>0</v>
      </c>
      <c r="BD82" s="251"/>
      <c r="BE82" s="239">
        <f t="shared" ref="BE79:BE115" si="123">IF(AX82=0,IF(G82="可",ROUND(AB82*BC82/100,0),ROUND(AB82*(AT82-AW82),0)),ROUND(AX82*F82,0))</f>
        <v>0</v>
      </c>
      <c r="BF82" s="275" t="str">
        <f t="shared" si="96"/>
        <v/>
      </c>
    </row>
    <row r="83" s="156" customFormat="1" ht="22.15" hidden="1" customHeight="1" spans="1:58">
      <c r="A83" s="182"/>
      <c r="B83" s="182"/>
      <c r="C83" s="182"/>
      <c r="D83" s="182"/>
      <c r="E83" s="182"/>
      <c r="F83" s="182"/>
      <c r="G83" s="183"/>
      <c r="H83" s="184">
        <f t="shared" si="106"/>
        <v>0</v>
      </c>
      <c r="I83" s="199">
        <f t="shared" si="107"/>
        <v>0</v>
      </c>
      <c r="J83" s="199">
        <f t="shared" si="108"/>
        <v>0</v>
      </c>
      <c r="K83" s="200">
        <f t="shared" si="109"/>
        <v>0</v>
      </c>
      <c r="L83" s="182">
        <f t="shared" si="110"/>
        <v>0</v>
      </c>
      <c r="M83" s="182">
        <f t="shared" si="111"/>
        <v>0</v>
      </c>
      <c r="N83" s="182">
        <f t="shared" si="112"/>
        <v>0</v>
      </c>
      <c r="O83" s="182">
        <f t="shared" si="113"/>
        <v>0</v>
      </c>
      <c r="P83" s="182">
        <f t="shared" si="114"/>
        <v>0</v>
      </c>
      <c r="Q83" s="223">
        <f t="shared" si="115"/>
        <v>0</v>
      </c>
      <c r="R83" s="224" t="str">
        <f t="shared" si="116"/>
        <v/>
      </c>
      <c r="S83" s="224"/>
      <c r="T83" s="202"/>
      <c r="U83" s="225"/>
      <c r="V83" s="225"/>
      <c r="W83" s="227"/>
      <c r="X83" s="227"/>
      <c r="Y83" s="227"/>
      <c r="Z83" s="227"/>
      <c r="AA83" s="227"/>
      <c r="AB83" s="239">
        <f t="shared" si="95"/>
        <v>0</v>
      </c>
      <c r="AC83" s="240">
        <f>设备类勘察表!E101</f>
        <v>0</v>
      </c>
      <c r="AD83" s="241"/>
      <c r="AE83" s="242">
        <f>IF(AD83=0,0,IF(G83="否",ROUND((设定!$C$4-机器设备及辅助设施评估明细表!AC83)/365,2),0))</f>
        <v>0</v>
      </c>
      <c r="AF83" s="242">
        <f t="shared" si="90"/>
        <v>0</v>
      </c>
      <c r="AG83" s="249">
        <f t="shared" si="91"/>
        <v>0</v>
      </c>
      <c r="AH83" s="249"/>
      <c r="AI83" s="250"/>
      <c r="AJ83" s="251"/>
      <c r="AK83" s="242">
        <f>IF(AJ83="",0,VLOOKUP(AJ83,成新率说明!$H$3:$I$6,2,0))</f>
        <v>0</v>
      </c>
      <c r="AL83" s="251"/>
      <c r="AM83" s="242">
        <f>IF(AL83="",0,VLOOKUP(AL83,成新率说明!$H$7:$I$11,2,0))</f>
        <v>0</v>
      </c>
      <c r="AN83" s="251"/>
      <c r="AO83" s="242">
        <f>IF(AH83="年限法",0,IF(AN83=0,0,VLOOKUP(AN83,成新率说明!$H$12:$I$15,2,0)))</f>
        <v>0</v>
      </c>
      <c r="AP83" s="242">
        <f t="shared" si="117"/>
        <v>0</v>
      </c>
      <c r="AQ83" s="250"/>
      <c r="AR83" s="251"/>
      <c r="AS83" s="251"/>
      <c r="AT83" s="265">
        <f t="shared" si="119"/>
        <v>0</v>
      </c>
      <c r="AU83" s="239">
        <f t="shared" si="120"/>
        <v>0</v>
      </c>
      <c r="AV83" s="227"/>
      <c r="AW83" s="272">
        <f>IF(AV83="",0,VLOOKUP(AV83,残值率参考表!$C$4:$D$23,2,0))</f>
        <v>0</v>
      </c>
      <c r="AX83" s="225"/>
      <c r="AY83" s="242">
        <f t="shared" si="121"/>
        <v>0</v>
      </c>
      <c r="AZ83" s="241"/>
      <c r="BA83" s="241"/>
      <c r="BB83" s="241"/>
      <c r="BC83" s="242">
        <f t="shared" si="122"/>
        <v>0</v>
      </c>
      <c r="BD83" s="251"/>
      <c r="BE83" s="239">
        <f t="shared" si="123"/>
        <v>0</v>
      </c>
      <c r="BF83" s="275" t="str">
        <f t="shared" si="96"/>
        <v/>
      </c>
    </row>
    <row r="84" s="156" customFormat="1" ht="22.15" hidden="1" customHeight="1" spans="1:58">
      <c r="A84" s="182"/>
      <c r="B84" s="182"/>
      <c r="C84" s="182"/>
      <c r="D84" s="182"/>
      <c r="E84" s="182"/>
      <c r="F84" s="182"/>
      <c r="G84" s="183"/>
      <c r="H84" s="184">
        <f t="shared" si="106"/>
        <v>0</v>
      </c>
      <c r="I84" s="199">
        <f t="shared" si="107"/>
        <v>0</v>
      </c>
      <c r="J84" s="199">
        <f t="shared" si="108"/>
        <v>0</v>
      </c>
      <c r="K84" s="200">
        <f t="shared" si="109"/>
        <v>0</v>
      </c>
      <c r="L84" s="182">
        <f t="shared" si="110"/>
        <v>0</v>
      </c>
      <c r="M84" s="182">
        <f t="shared" si="111"/>
        <v>0</v>
      </c>
      <c r="N84" s="182">
        <f t="shared" si="112"/>
        <v>0</v>
      </c>
      <c r="O84" s="182">
        <f t="shared" si="113"/>
        <v>0</v>
      </c>
      <c r="P84" s="182">
        <f t="shared" si="114"/>
        <v>0</v>
      </c>
      <c r="Q84" s="223">
        <f t="shared" si="115"/>
        <v>0</v>
      </c>
      <c r="R84" s="224" t="str">
        <f t="shared" si="116"/>
        <v/>
      </c>
      <c r="S84" s="224"/>
      <c r="T84" s="202"/>
      <c r="U84" s="225"/>
      <c r="V84" s="225"/>
      <c r="W84" s="227"/>
      <c r="X84" s="227"/>
      <c r="Y84" s="227"/>
      <c r="Z84" s="227"/>
      <c r="AA84" s="227"/>
      <c r="AB84" s="239">
        <f t="shared" si="95"/>
        <v>0</v>
      </c>
      <c r="AC84" s="240">
        <f>设备类勘察表!E102</f>
        <v>0</v>
      </c>
      <c r="AD84" s="241"/>
      <c r="AE84" s="242"/>
      <c r="AF84" s="242"/>
      <c r="AG84" s="249"/>
      <c r="AH84" s="249"/>
      <c r="AI84" s="250"/>
      <c r="AJ84" s="251"/>
      <c r="AK84" s="242"/>
      <c r="AL84" s="251"/>
      <c r="AM84" s="242"/>
      <c r="AN84" s="251"/>
      <c r="AO84" s="242"/>
      <c r="AP84" s="242"/>
      <c r="AQ84" s="250"/>
      <c r="AR84" s="251"/>
      <c r="AS84" s="251"/>
      <c r="AT84" s="265">
        <f t="shared" si="119"/>
        <v>0</v>
      </c>
      <c r="AU84" s="239">
        <f t="shared" si="120"/>
        <v>0</v>
      </c>
      <c r="AV84" s="227"/>
      <c r="AW84" s="272"/>
      <c r="AX84" s="225"/>
      <c r="AY84" s="242">
        <f t="shared" si="121"/>
        <v>0</v>
      </c>
      <c r="AZ84" s="241"/>
      <c r="BA84" s="241"/>
      <c r="BB84" s="241"/>
      <c r="BC84" s="242">
        <f t="shared" si="122"/>
        <v>0</v>
      </c>
      <c r="BD84" s="251"/>
      <c r="BE84" s="239">
        <f t="shared" si="123"/>
        <v>0</v>
      </c>
      <c r="BF84" s="275" t="str">
        <f t="shared" si="96"/>
        <v/>
      </c>
    </row>
    <row r="85" s="156" customFormat="1" ht="22.15" hidden="1" customHeight="1" spans="1:58">
      <c r="A85" s="182"/>
      <c r="B85" s="182"/>
      <c r="C85" s="182"/>
      <c r="D85" s="182"/>
      <c r="E85" s="182"/>
      <c r="F85" s="182"/>
      <c r="G85" s="183"/>
      <c r="H85" s="184">
        <f t="shared" si="106"/>
        <v>0</v>
      </c>
      <c r="I85" s="199">
        <f t="shared" si="107"/>
        <v>0</v>
      </c>
      <c r="J85" s="199">
        <f t="shared" si="108"/>
        <v>0</v>
      </c>
      <c r="K85" s="200">
        <f t="shared" si="109"/>
        <v>0</v>
      </c>
      <c r="L85" s="182">
        <f t="shared" si="110"/>
        <v>0</v>
      </c>
      <c r="M85" s="182">
        <f t="shared" si="111"/>
        <v>0</v>
      </c>
      <c r="N85" s="182">
        <f t="shared" si="112"/>
        <v>0</v>
      </c>
      <c r="O85" s="182">
        <f t="shared" si="113"/>
        <v>0</v>
      </c>
      <c r="P85" s="182">
        <f t="shared" si="114"/>
        <v>0</v>
      </c>
      <c r="Q85" s="223">
        <f t="shared" si="115"/>
        <v>0</v>
      </c>
      <c r="R85" s="224" t="str">
        <f t="shared" si="116"/>
        <v/>
      </c>
      <c r="S85" s="224"/>
      <c r="T85" s="202"/>
      <c r="U85" s="225"/>
      <c r="V85" s="225"/>
      <c r="W85" s="227"/>
      <c r="X85" s="227"/>
      <c r="Y85" s="227"/>
      <c r="Z85" s="227"/>
      <c r="AA85" s="227"/>
      <c r="AB85" s="239">
        <f t="shared" si="95"/>
        <v>0</v>
      </c>
      <c r="AC85" s="240">
        <f>设备类勘察表!E103</f>
        <v>0</v>
      </c>
      <c r="AD85" s="241"/>
      <c r="AE85" s="242"/>
      <c r="AF85" s="242"/>
      <c r="AG85" s="249"/>
      <c r="AH85" s="249"/>
      <c r="AI85" s="250"/>
      <c r="AJ85" s="251"/>
      <c r="AK85" s="242">
        <f>IF(AH85="年限法",0,IF(AJ85=0,0,VLOOKUP(AJ85,成新率说明!$H$3:$I$6,2,0)))</f>
        <v>0</v>
      </c>
      <c r="AL85" s="251"/>
      <c r="AM85" s="242">
        <f>IF(AL85="",0,VLOOKUP(AL85,成新率说明!$H$7:$I$11,2,0))</f>
        <v>0</v>
      </c>
      <c r="AN85" s="251"/>
      <c r="AO85" s="242">
        <f>IF(AH85="年限法",0,IF(AN85=0,0,VLOOKUP(AN85,成新率说明!$H$12:$I$15,2,0)))</f>
        <v>0</v>
      </c>
      <c r="AP85" s="242">
        <f>AK85+AM85+AO85</f>
        <v>0</v>
      </c>
      <c r="AQ85" s="250"/>
      <c r="AR85" s="251"/>
      <c r="AS85" s="251"/>
      <c r="AT85" s="265">
        <f t="shared" si="119"/>
        <v>0</v>
      </c>
      <c r="AU85" s="239">
        <f t="shared" si="120"/>
        <v>0</v>
      </c>
      <c r="AV85" s="227"/>
      <c r="AW85" s="272">
        <f>IF(AV85="",0,VLOOKUP(AV85,残值率参考表!$C$4:$D$23,2,0))</f>
        <v>0</v>
      </c>
      <c r="AX85" s="225"/>
      <c r="AY85" s="242">
        <f t="shared" si="121"/>
        <v>0</v>
      </c>
      <c r="AZ85" s="241"/>
      <c r="BA85" s="241"/>
      <c r="BB85" s="241"/>
      <c r="BC85" s="242">
        <f t="shared" si="122"/>
        <v>0</v>
      </c>
      <c r="BD85" s="251"/>
      <c r="BE85" s="239">
        <f t="shared" si="123"/>
        <v>0</v>
      </c>
      <c r="BF85" s="275" t="str">
        <f t="shared" si="96"/>
        <v/>
      </c>
    </row>
    <row r="86" s="156" customFormat="1" ht="22.15" hidden="1" customHeight="1" spans="1:58">
      <c r="A86" s="182"/>
      <c r="B86" s="182"/>
      <c r="C86" s="182"/>
      <c r="D86" s="182"/>
      <c r="E86" s="182"/>
      <c r="F86" s="182"/>
      <c r="G86" s="183"/>
      <c r="H86" s="184"/>
      <c r="I86" s="199"/>
      <c r="J86" s="199"/>
      <c r="K86" s="184"/>
      <c r="L86" s="182"/>
      <c r="M86" s="182"/>
      <c r="N86" s="182"/>
      <c r="O86" s="182"/>
      <c r="P86" s="284"/>
      <c r="Q86" s="223"/>
      <c r="R86" s="224"/>
      <c r="S86" s="224"/>
      <c r="T86" s="202"/>
      <c r="U86" s="225"/>
      <c r="V86" s="225"/>
      <c r="W86" s="227"/>
      <c r="X86" s="227"/>
      <c r="Y86" s="227"/>
      <c r="Z86" s="227"/>
      <c r="AA86" s="227"/>
      <c r="AB86" s="239">
        <f t="shared" si="95"/>
        <v>0</v>
      </c>
      <c r="AC86" s="240">
        <f>设备类勘察表!E104</f>
        <v>0</v>
      </c>
      <c r="AD86" s="241"/>
      <c r="AE86" s="242"/>
      <c r="AF86" s="242"/>
      <c r="AG86" s="249"/>
      <c r="AH86" s="249"/>
      <c r="AI86" s="250"/>
      <c r="AJ86" s="251"/>
      <c r="AK86" s="242"/>
      <c r="AL86" s="251"/>
      <c r="AM86" s="242"/>
      <c r="AN86" s="251"/>
      <c r="AO86" s="242"/>
      <c r="AP86" s="242"/>
      <c r="AQ86" s="250"/>
      <c r="AR86" s="251"/>
      <c r="AS86" s="251"/>
      <c r="AT86" s="265"/>
      <c r="AU86" s="239"/>
      <c r="AV86" s="227"/>
      <c r="AW86" s="272"/>
      <c r="AX86" s="225"/>
      <c r="AY86" s="242">
        <f t="shared" si="121"/>
        <v>0</v>
      </c>
      <c r="AZ86" s="241"/>
      <c r="BA86" s="241"/>
      <c r="BB86" s="241"/>
      <c r="BC86" s="242">
        <f t="shared" si="122"/>
        <v>0</v>
      </c>
      <c r="BD86" s="251"/>
      <c r="BE86" s="239">
        <f t="shared" si="123"/>
        <v>0</v>
      </c>
      <c r="BF86" s="275" t="str">
        <f t="shared" si="96"/>
        <v/>
      </c>
    </row>
    <row r="87" s="156" customFormat="1" ht="22.15" hidden="1" customHeight="1" spans="1:58">
      <c r="A87" s="182"/>
      <c r="B87" s="182"/>
      <c r="C87" s="182"/>
      <c r="D87" s="182"/>
      <c r="E87" s="182"/>
      <c r="F87" s="182"/>
      <c r="G87" s="183"/>
      <c r="H87" s="184"/>
      <c r="I87" s="199"/>
      <c r="J87" s="199"/>
      <c r="K87" s="184"/>
      <c r="L87" s="182"/>
      <c r="M87" s="182"/>
      <c r="N87" s="182"/>
      <c r="O87" s="182"/>
      <c r="P87" s="284"/>
      <c r="Q87" s="223"/>
      <c r="R87" s="224"/>
      <c r="S87" s="224"/>
      <c r="T87" s="202"/>
      <c r="U87" s="225"/>
      <c r="V87" s="225"/>
      <c r="W87" s="227"/>
      <c r="X87" s="227"/>
      <c r="Y87" s="227"/>
      <c r="Z87" s="227"/>
      <c r="AA87" s="227"/>
      <c r="AB87" s="239">
        <f t="shared" si="95"/>
        <v>0</v>
      </c>
      <c r="AC87" s="240">
        <f>设备类勘察表!E105</f>
        <v>0</v>
      </c>
      <c r="AD87" s="241"/>
      <c r="AE87" s="242"/>
      <c r="AF87" s="242"/>
      <c r="AG87" s="249"/>
      <c r="AH87" s="249"/>
      <c r="AI87" s="250"/>
      <c r="AJ87" s="251"/>
      <c r="AK87" s="242"/>
      <c r="AL87" s="251"/>
      <c r="AM87" s="242"/>
      <c r="AN87" s="251"/>
      <c r="AO87" s="242"/>
      <c r="AP87" s="242"/>
      <c r="AQ87" s="250"/>
      <c r="AR87" s="251"/>
      <c r="AS87" s="251"/>
      <c r="AT87" s="265"/>
      <c r="AU87" s="239"/>
      <c r="AV87" s="227"/>
      <c r="AW87" s="272"/>
      <c r="AX87" s="225"/>
      <c r="AY87" s="242">
        <f t="shared" si="121"/>
        <v>0</v>
      </c>
      <c r="AZ87" s="241"/>
      <c r="BA87" s="241"/>
      <c r="BB87" s="241"/>
      <c r="BC87" s="242">
        <f t="shared" si="122"/>
        <v>0</v>
      </c>
      <c r="BD87" s="251"/>
      <c r="BE87" s="239">
        <f t="shared" si="123"/>
        <v>0</v>
      </c>
      <c r="BF87" s="275" t="str">
        <f t="shared" si="96"/>
        <v/>
      </c>
    </row>
    <row r="88" s="156" customFormat="1" ht="22.15" hidden="1" customHeight="1" spans="1:58">
      <c r="A88" s="182"/>
      <c r="B88" s="182"/>
      <c r="C88" s="182"/>
      <c r="D88" s="182"/>
      <c r="E88" s="182"/>
      <c r="F88" s="182"/>
      <c r="G88" s="183"/>
      <c r="H88" s="184"/>
      <c r="I88" s="199"/>
      <c r="J88" s="199"/>
      <c r="K88" s="184"/>
      <c r="L88" s="182"/>
      <c r="M88" s="182"/>
      <c r="N88" s="182"/>
      <c r="O88" s="182"/>
      <c r="P88" s="284"/>
      <c r="Q88" s="223"/>
      <c r="R88" s="224"/>
      <c r="S88" s="224"/>
      <c r="T88" s="202"/>
      <c r="U88" s="225"/>
      <c r="V88" s="225"/>
      <c r="W88" s="227"/>
      <c r="X88" s="227"/>
      <c r="Y88" s="227"/>
      <c r="Z88" s="227"/>
      <c r="AA88" s="227"/>
      <c r="AB88" s="239">
        <f t="shared" ref="AB88:AB115" si="124">ROUND((U88*(1+W88+X88+Y88)*(1+Z88)*(1+AA88))*F88,0)</f>
        <v>0</v>
      </c>
      <c r="AC88" s="240">
        <f>设备类勘察表!E106</f>
        <v>0</v>
      </c>
      <c r="AD88" s="241"/>
      <c r="AE88" s="242"/>
      <c r="AF88" s="242"/>
      <c r="AG88" s="249"/>
      <c r="AH88" s="249"/>
      <c r="AI88" s="250"/>
      <c r="AJ88" s="251"/>
      <c r="AK88" s="242"/>
      <c r="AL88" s="251"/>
      <c r="AM88" s="242"/>
      <c r="AN88" s="251"/>
      <c r="AO88" s="242"/>
      <c r="AP88" s="242"/>
      <c r="AQ88" s="250"/>
      <c r="AR88" s="251"/>
      <c r="AS88" s="251"/>
      <c r="AT88" s="265"/>
      <c r="AU88" s="239"/>
      <c r="AV88" s="227"/>
      <c r="AW88" s="272"/>
      <c r="AX88" s="225"/>
      <c r="AY88" s="242">
        <f t="shared" si="121"/>
        <v>0</v>
      </c>
      <c r="AZ88" s="241"/>
      <c r="BA88" s="241"/>
      <c r="BB88" s="241"/>
      <c r="BC88" s="242">
        <f t="shared" si="122"/>
        <v>0</v>
      </c>
      <c r="BD88" s="251"/>
      <c r="BE88" s="239">
        <f t="shared" si="123"/>
        <v>0</v>
      </c>
      <c r="BF88" s="275" t="str">
        <f t="shared" ref="BF88:BF116" si="125">IF(AW88=0,IF(AX88=0,"",AX88&amp;"元/"&amp;E88),("扣除"&amp;AW88*100&amp;"%残值"))</f>
        <v/>
      </c>
    </row>
    <row r="89" s="156" customFormat="1" ht="22.15" hidden="1" customHeight="1" spans="1:58">
      <c r="A89" s="182"/>
      <c r="B89" s="182"/>
      <c r="C89" s="182"/>
      <c r="D89" s="182"/>
      <c r="E89" s="182"/>
      <c r="F89" s="182"/>
      <c r="G89" s="183"/>
      <c r="H89" s="184"/>
      <c r="I89" s="199"/>
      <c r="J89" s="199"/>
      <c r="K89" s="184"/>
      <c r="L89" s="182"/>
      <c r="M89" s="182"/>
      <c r="N89" s="182"/>
      <c r="O89" s="182"/>
      <c r="P89" s="284"/>
      <c r="Q89" s="223"/>
      <c r="R89" s="224"/>
      <c r="S89" s="224"/>
      <c r="T89" s="202"/>
      <c r="U89" s="225"/>
      <c r="V89" s="225"/>
      <c r="W89" s="227"/>
      <c r="X89" s="227"/>
      <c r="Y89" s="227"/>
      <c r="Z89" s="227"/>
      <c r="AA89" s="227"/>
      <c r="AB89" s="239">
        <f t="shared" si="124"/>
        <v>0</v>
      </c>
      <c r="AC89" s="240">
        <f>设备类勘察表!E107</f>
        <v>0</v>
      </c>
      <c r="AD89" s="241"/>
      <c r="AE89" s="242"/>
      <c r="AF89" s="242"/>
      <c r="AG89" s="249"/>
      <c r="AH89" s="249"/>
      <c r="AI89" s="250"/>
      <c r="AJ89" s="251"/>
      <c r="AK89" s="242"/>
      <c r="AL89" s="251"/>
      <c r="AM89" s="242"/>
      <c r="AN89" s="251"/>
      <c r="AO89" s="242"/>
      <c r="AP89" s="242"/>
      <c r="AQ89" s="250"/>
      <c r="AR89" s="251"/>
      <c r="AS89" s="251"/>
      <c r="AT89" s="265"/>
      <c r="AU89" s="239"/>
      <c r="AV89" s="227"/>
      <c r="AW89" s="272"/>
      <c r="AX89" s="225"/>
      <c r="AY89" s="242">
        <f t="shared" si="121"/>
        <v>0</v>
      </c>
      <c r="AZ89" s="241"/>
      <c r="BA89" s="241"/>
      <c r="BB89" s="241"/>
      <c r="BC89" s="242">
        <f t="shared" si="122"/>
        <v>0</v>
      </c>
      <c r="BD89" s="251"/>
      <c r="BE89" s="239">
        <f t="shared" si="123"/>
        <v>0</v>
      </c>
      <c r="BF89" s="275" t="str">
        <f t="shared" si="125"/>
        <v/>
      </c>
    </row>
    <row r="90" s="156" customFormat="1" ht="22.15" hidden="1" customHeight="1" spans="1:58">
      <c r="A90" s="182"/>
      <c r="B90" s="182"/>
      <c r="C90" s="182"/>
      <c r="D90" s="182"/>
      <c r="E90" s="182"/>
      <c r="F90" s="182"/>
      <c r="G90" s="183"/>
      <c r="H90" s="184"/>
      <c r="I90" s="199"/>
      <c r="J90" s="199"/>
      <c r="K90" s="184"/>
      <c r="L90" s="182"/>
      <c r="M90" s="182"/>
      <c r="N90" s="182"/>
      <c r="O90" s="182"/>
      <c r="P90" s="284"/>
      <c r="Q90" s="223"/>
      <c r="R90" s="224"/>
      <c r="S90" s="224"/>
      <c r="T90" s="202"/>
      <c r="U90" s="225"/>
      <c r="V90" s="225"/>
      <c r="W90" s="227"/>
      <c r="X90" s="227"/>
      <c r="Y90" s="227"/>
      <c r="Z90" s="227"/>
      <c r="AA90" s="227"/>
      <c r="AB90" s="239">
        <f t="shared" si="124"/>
        <v>0</v>
      </c>
      <c r="AC90" s="240">
        <f>设备类勘察表!E108</f>
        <v>0</v>
      </c>
      <c r="AD90" s="241"/>
      <c r="AE90" s="242"/>
      <c r="AF90" s="242"/>
      <c r="AG90" s="249"/>
      <c r="AH90" s="249"/>
      <c r="AI90" s="250"/>
      <c r="AJ90" s="251"/>
      <c r="AK90" s="242"/>
      <c r="AL90" s="251"/>
      <c r="AM90" s="242"/>
      <c r="AN90" s="251"/>
      <c r="AO90" s="242"/>
      <c r="AP90" s="242"/>
      <c r="AQ90" s="250"/>
      <c r="AR90" s="251"/>
      <c r="AS90" s="251"/>
      <c r="AT90" s="265"/>
      <c r="AU90" s="239"/>
      <c r="AV90" s="227"/>
      <c r="AW90" s="272"/>
      <c r="AX90" s="225"/>
      <c r="AY90" s="242">
        <f t="shared" si="121"/>
        <v>0</v>
      </c>
      <c r="AZ90" s="241"/>
      <c r="BA90" s="241"/>
      <c r="BB90" s="241"/>
      <c r="BC90" s="242">
        <f t="shared" si="122"/>
        <v>0</v>
      </c>
      <c r="BD90" s="251"/>
      <c r="BE90" s="239">
        <f t="shared" si="123"/>
        <v>0</v>
      </c>
      <c r="BF90" s="275" t="str">
        <f t="shared" si="125"/>
        <v/>
      </c>
    </row>
    <row r="91" s="156" customFormat="1" ht="22.15" hidden="1" customHeight="1" spans="1:58">
      <c r="A91" s="182"/>
      <c r="B91" s="182"/>
      <c r="C91" s="182"/>
      <c r="D91" s="182"/>
      <c r="E91" s="182"/>
      <c r="F91" s="182"/>
      <c r="G91" s="183"/>
      <c r="H91" s="184"/>
      <c r="I91" s="199"/>
      <c r="J91" s="199"/>
      <c r="K91" s="184"/>
      <c r="L91" s="182"/>
      <c r="M91" s="182"/>
      <c r="N91" s="182"/>
      <c r="O91" s="182"/>
      <c r="P91" s="284"/>
      <c r="Q91" s="223"/>
      <c r="R91" s="224"/>
      <c r="S91" s="224"/>
      <c r="T91" s="202"/>
      <c r="U91" s="225"/>
      <c r="V91" s="225"/>
      <c r="W91" s="227"/>
      <c r="X91" s="227"/>
      <c r="Y91" s="227"/>
      <c r="Z91" s="227"/>
      <c r="AA91" s="227"/>
      <c r="AB91" s="239">
        <f t="shared" si="124"/>
        <v>0</v>
      </c>
      <c r="AC91" s="240">
        <f>设备类勘察表!E109</f>
        <v>0</v>
      </c>
      <c r="AD91" s="241"/>
      <c r="AE91" s="242"/>
      <c r="AF91" s="242"/>
      <c r="AG91" s="249"/>
      <c r="AH91" s="249"/>
      <c r="AI91" s="250"/>
      <c r="AJ91" s="251"/>
      <c r="AK91" s="242"/>
      <c r="AL91" s="251"/>
      <c r="AM91" s="242"/>
      <c r="AN91" s="251"/>
      <c r="AO91" s="242"/>
      <c r="AP91" s="242"/>
      <c r="AQ91" s="250"/>
      <c r="AR91" s="251"/>
      <c r="AS91" s="251"/>
      <c r="AT91" s="265"/>
      <c r="AU91" s="239"/>
      <c r="AV91" s="227"/>
      <c r="AW91" s="272"/>
      <c r="AX91" s="225"/>
      <c r="AY91" s="242">
        <f t="shared" si="121"/>
        <v>0</v>
      </c>
      <c r="AZ91" s="241"/>
      <c r="BA91" s="241"/>
      <c r="BB91" s="241"/>
      <c r="BC91" s="242">
        <f t="shared" si="122"/>
        <v>0</v>
      </c>
      <c r="BD91" s="251"/>
      <c r="BE91" s="239">
        <f t="shared" si="123"/>
        <v>0</v>
      </c>
      <c r="BF91" s="275" t="str">
        <f t="shared" si="125"/>
        <v/>
      </c>
    </row>
    <row r="92" s="156" customFormat="1" ht="22.15" hidden="1" customHeight="1" spans="1:58">
      <c r="A92" s="182"/>
      <c r="B92" s="182"/>
      <c r="C92" s="182"/>
      <c r="D92" s="182"/>
      <c r="E92" s="182"/>
      <c r="F92" s="182"/>
      <c r="G92" s="183"/>
      <c r="H92" s="184"/>
      <c r="I92" s="199"/>
      <c r="J92" s="199"/>
      <c r="K92" s="184"/>
      <c r="L92" s="182"/>
      <c r="M92" s="182"/>
      <c r="N92" s="182"/>
      <c r="O92" s="182"/>
      <c r="P92" s="284"/>
      <c r="Q92" s="223"/>
      <c r="R92" s="224"/>
      <c r="S92" s="224"/>
      <c r="T92" s="202"/>
      <c r="U92" s="225"/>
      <c r="V92" s="225"/>
      <c r="W92" s="227"/>
      <c r="X92" s="227"/>
      <c r="Y92" s="227"/>
      <c r="Z92" s="227"/>
      <c r="AA92" s="227"/>
      <c r="AB92" s="239">
        <f t="shared" si="124"/>
        <v>0</v>
      </c>
      <c r="AC92" s="240">
        <f>设备类勘察表!E110</f>
        <v>0</v>
      </c>
      <c r="AD92" s="241"/>
      <c r="AE92" s="242"/>
      <c r="AF92" s="242"/>
      <c r="AG92" s="249"/>
      <c r="AH92" s="249"/>
      <c r="AI92" s="250"/>
      <c r="AJ92" s="251"/>
      <c r="AK92" s="242"/>
      <c r="AL92" s="251"/>
      <c r="AM92" s="242"/>
      <c r="AN92" s="251"/>
      <c r="AO92" s="242"/>
      <c r="AP92" s="242"/>
      <c r="AQ92" s="250"/>
      <c r="AR92" s="251"/>
      <c r="AS92" s="251"/>
      <c r="AT92" s="265"/>
      <c r="AU92" s="239"/>
      <c r="AV92" s="227"/>
      <c r="AW92" s="272"/>
      <c r="AX92" s="225"/>
      <c r="AY92" s="242">
        <f t="shared" si="121"/>
        <v>0</v>
      </c>
      <c r="AZ92" s="241"/>
      <c r="BA92" s="241"/>
      <c r="BB92" s="241"/>
      <c r="BC92" s="242">
        <f t="shared" si="122"/>
        <v>0</v>
      </c>
      <c r="BD92" s="251"/>
      <c r="BE92" s="239">
        <f t="shared" si="123"/>
        <v>0</v>
      </c>
      <c r="BF92" s="275" t="str">
        <f t="shared" si="125"/>
        <v/>
      </c>
    </row>
    <row r="93" s="156" customFormat="1" ht="22.15" hidden="1" customHeight="1" spans="1:58">
      <c r="A93" s="182"/>
      <c r="B93" s="182"/>
      <c r="C93" s="182"/>
      <c r="D93" s="182"/>
      <c r="E93" s="182"/>
      <c r="F93" s="182"/>
      <c r="G93" s="183"/>
      <c r="H93" s="184"/>
      <c r="I93" s="199"/>
      <c r="J93" s="199"/>
      <c r="K93" s="184"/>
      <c r="L93" s="182"/>
      <c r="M93" s="182"/>
      <c r="N93" s="182"/>
      <c r="O93" s="182"/>
      <c r="P93" s="284"/>
      <c r="Q93" s="223"/>
      <c r="R93" s="224"/>
      <c r="S93" s="224"/>
      <c r="T93" s="202"/>
      <c r="U93" s="225"/>
      <c r="V93" s="225"/>
      <c r="W93" s="227"/>
      <c r="X93" s="227"/>
      <c r="Y93" s="227"/>
      <c r="Z93" s="227"/>
      <c r="AA93" s="227"/>
      <c r="AB93" s="239">
        <f t="shared" si="124"/>
        <v>0</v>
      </c>
      <c r="AC93" s="240">
        <f>设备类勘察表!E111</f>
        <v>0</v>
      </c>
      <c r="AD93" s="241"/>
      <c r="AE93" s="242"/>
      <c r="AF93" s="242"/>
      <c r="AG93" s="249"/>
      <c r="AH93" s="249"/>
      <c r="AI93" s="250"/>
      <c r="AJ93" s="251"/>
      <c r="AK93" s="242"/>
      <c r="AL93" s="251"/>
      <c r="AM93" s="242"/>
      <c r="AN93" s="251"/>
      <c r="AO93" s="242"/>
      <c r="AP93" s="242"/>
      <c r="AQ93" s="250"/>
      <c r="AR93" s="251"/>
      <c r="AS93" s="251"/>
      <c r="AT93" s="265"/>
      <c r="AU93" s="239"/>
      <c r="AV93" s="227"/>
      <c r="AW93" s="272"/>
      <c r="AX93" s="225"/>
      <c r="AY93" s="242">
        <f t="shared" si="121"/>
        <v>0</v>
      </c>
      <c r="AZ93" s="241"/>
      <c r="BA93" s="241"/>
      <c r="BB93" s="241"/>
      <c r="BC93" s="242">
        <f t="shared" si="122"/>
        <v>0</v>
      </c>
      <c r="BD93" s="251"/>
      <c r="BE93" s="239">
        <f t="shared" si="123"/>
        <v>0</v>
      </c>
      <c r="BF93" s="275" t="str">
        <f t="shared" si="125"/>
        <v/>
      </c>
    </row>
    <row r="94" s="156" customFormat="1" ht="22.15" hidden="1" customHeight="1" spans="1:58">
      <c r="A94" s="182"/>
      <c r="B94" s="182"/>
      <c r="C94" s="182"/>
      <c r="D94" s="182"/>
      <c r="E94" s="182"/>
      <c r="F94" s="182"/>
      <c r="G94" s="183"/>
      <c r="H94" s="184"/>
      <c r="I94" s="199"/>
      <c r="J94" s="199"/>
      <c r="K94" s="184"/>
      <c r="L94" s="182"/>
      <c r="M94" s="182"/>
      <c r="N94" s="182"/>
      <c r="O94" s="182"/>
      <c r="P94" s="284"/>
      <c r="Q94" s="223"/>
      <c r="R94" s="224"/>
      <c r="S94" s="224"/>
      <c r="T94" s="202"/>
      <c r="U94" s="225"/>
      <c r="V94" s="225"/>
      <c r="W94" s="227"/>
      <c r="X94" s="227"/>
      <c r="Y94" s="227"/>
      <c r="Z94" s="227"/>
      <c r="AA94" s="227"/>
      <c r="AB94" s="239">
        <f t="shared" si="124"/>
        <v>0</v>
      </c>
      <c r="AC94" s="240">
        <f>设备类勘察表!E112</f>
        <v>0</v>
      </c>
      <c r="AD94" s="241"/>
      <c r="AE94" s="242"/>
      <c r="AF94" s="242"/>
      <c r="AG94" s="249"/>
      <c r="AH94" s="249"/>
      <c r="AI94" s="250"/>
      <c r="AJ94" s="251"/>
      <c r="AK94" s="242"/>
      <c r="AL94" s="251"/>
      <c r="AM94" s="242"/>
      <c r="AN94" s="251"/>
      <c r="AO94" s="242"/>
      <c r="AP94" s="242"/>
      <c r="AQ94" s="250"/>
      <c r="AR94" s="251"/>
      <c r="AS94" s="251"/>
      <c r="AT94" s="265"/>
      <c r="AU94" s="239"/>
      <c r="AV94" s="227"/>
      <c r="AW94" s="272"/>
      <c r="AX94" s="225"/>
      <c r="AY94" s="242">
        <f t="shared" si="121"/>
        <v>0</v>
      </c>
      <c r="AZ94" s="241"/>
      <c r="BA94" s="241"/>
      <c r="BB94" s="241"/>
      <c r="BC94" s="242">
        <f t="shared" si="122"/>
        <v>0</v>
      </c>
      <c r="BD94" s="251"/>
      <c r="BE94" s="239">
        <f t="shared" si="123"/>
        <v>0</v>
      </c>
      <c r="BF94" s="275" t="str">
        <f t="shared" si="125"/>
        <v/>
      </c>
    </row>
    <row r="95" s="156" customFormat="1" ht="22.15" hidden="1" customHeight="1" spans="1:58">
      <c r="A95" s="182"/>
      <c r="B95" s="182"/>
      <c r="C95" s="182"/>
      <c r="D95" s="182"/>
      <c r="E95" s="182"/>
      <c r="F95" s="182"/>
      <c r="G95" s="183"/>
      <c r="H95" s="184"/>
      <c r="I95" s="199"/>
      <c r="J95" s="199"/>
      <c r="K95" s="184"/>
      <c r="L95" s="182"/>
      <c r="M95" s="182"/>
      <c r="N95" s="182"/>
      <c r="O95" s="182"/>
      <c r="P95" s="284"/>
      <c r="Q95" s="223"/>
      <c r="R95" s="224"/>
      <c r="S95" s="224"/>
      <c r="T95" s="202"/>
      <c r="U95" s="225"/>
      <c r="V95" s="225"/>
      <c r="W95" s="227"/>
      <c r="X95" s="227"/>
      <c r="Y95" s="227"/>
      <c r="Z95" s="227"/>
      <c r="AA95" s="227"/>
      <c r="AB95" s="239">
        <f t="shared" si="124"/>
        <v>0</v>
      </c>
      <c r="AC95" s="240">
        <f>设备类勘察表!E113</f>
        <v>0</v>
      </c>
      <c r="AD95" s="241"/>
      <c r="AE95" s="242"/>
      <c r="AF95" s="242"/>
      <c r="AG95" s="249"/>
      <c r="AH95" s="249"/>
      <c r="AI95" s="250"/>
      <c r="AJ95" s="251"/>
      <c r="AK95" s="242"/>
      <c r="AL95" s="251"/>
      <c r="AM95" s="242"/>
      <c r="AN95" s="251"/>
      <c r="AO95" s="242"/>
      <c r="AP95" s="242"/>
      <c r="AQ95" s="250"/>
      <c r="AR95" s="251"/>
      <c r="AS95" s="251"/>
      <c r="AT95" s="265"/>
      <c r="AU95" s="239"/>
      <c r="AV95" s="227"/>
      <c r="AW95" s="272"/>
      <c r="AX95" s="225"/>
      <c r="AY95" s="242">
        <f t="shared" si="121"/>
        <v>0</v>
      </c>
      <c r="AZ95" s="241"/>
      <c r="BA95" s="241"/>
      <c r="BB95" s="241"/>
      <c r="BC95" s="242">
        <f t="shared" si="122"/>
        <v>0</v>
      </c>
      <c r="BD95" s="251"/>
      <c r="BE95" s="239">
        <f t="shared" si="123"/>
        <v>0</v>
      </c>
      <c r="BF95" s="275" t="str">
        <f t="shared" si="125"/>
        <v/>
      </c>
    </row>
    <row r="96" s="156" customFormat="1" ht="22.15" hidden="1" customHeight="1" spans="1:58">
      <c r="A96" s="182"/>
      <c r="B96" s="182"/>
      <c r="C96" s="182"/>
      <c r="D96" s="182"/>
      <c r="E96" s="182"/>
      <c r="F96" s="182"/>
      <c r="G96" s="183"/>
      <c r="H96" s="184"/>
      <c r="I96" s="199"/>
      <c r="J96" s="199"/>
      <c r="K96" s="184"/>
      <c r="L96" s="182"/>
      <c r="M96" s="182"/>
      <c r="N96" s="182"/>
      <c r="O96" s="182"/>
      <c r="P96" s="284"/>
      <c r="Q96" s="223"/>
      <c r="R96" s="224"/>
      <c r="S96" s="224"/>
      <c r="T96" s="202"/>
      <c r="U96" s="225"/>
      <c r="V96" s="225"/>
      <c r="W96" s="227"/>
      <c r="X96" s="227"/>
      <c r="Y96" s="227"/>
      <c r="Z96" s="227"/>
      <c r="AA96" s="227"/>
      <c r="AB96" s="239">
        <f t="shared" si="124"/>
        <v>0</v>
      </c>
      <c r="AC96" s="240">
        <f>设备类勘察表!E114</f>
        <v>0</v>
      </c>
      <c r="AD96" s="241"/>
      <c r="AE96" s="242"/>
      <c r="AF96" s="242"/>
      <c r="AG96" s="249"/>
      <c r="AH96" s="249"/>
      <c r="AI96" s="250"/>
      <c r="AJ96" s="251"/>
      <c r="AK96" s="242">
        <f>IF(AH96="年限法",0,IF(AJ96=0,0,VLOOKUP(AJ96,成新率说明!$H$3:$I$6,2,0)))</f>
        <v>0</v>
      </c>
      <c r="AL96" s="251"/>
      <c r="AM96" s="242">
        <f>IF(AL96="",0,VLOOKUP(AL96,成新率说明!$H$7:$I$11,2,0))</f>
        <v>0</v>
      </c>
      <c r="AN96" s="251"/>
      <c r="AO96" s="242">
        <f>IF(AH96="年限法",0,IF(AN96=0,0,VLOOKUP(AN96,成新率说明!$H$12:$I$15,2,0)))</f>
        <v>0</v>
      </c>
      <c r="AP96" s="242">
        <f>AK96+AM96+AO96</f>
        <v>0</v>
      </c>
      <c r="AQ96" s="250"/>
      <c r="AR96" s="251"/>
      <c r="AS96" s="251"/>
      <c r="AT96" s="265">
        <f>IF(AH96="年限法",AG96,IF(AH96="勘察法",ROUND(AP96/100,2),ROUND(AG96*AI96+AP96*AQ96/100,2)))</f>
        <v>0</v>
      </c>
      <c r="AU96" s="239">
        <f>ROUND(AB96*(AT96-AW96),0)</f>
        <v>0</v>
      </c>
      <c r="AV96" s="227"/>
      <c r="AW96" s="272">
        <f>IF(AV96="",0,VLOOKUP(AV96,残值率参考表!$C$4:$D$23,2,0))</f>
        <v>0</v>
      </c>
      <c r="AX96" s="225"/>
      <c r="AY96" s="242">
        <f t="shared" si="121"/>
        <v>0</v>
      </c>
      <c r="AZ96" s="241"/>
      <c r="BA96" s="241"/>
      <c r="BB96" s="241"/>
      <c r="BC96" s="242">
        <f t="shared" si="122"/>
        <v>0</v>
      </c>
      <c r="BD96" s="251"/>
      <c r="BE96" s="239">
        <f t="shared" si="123"/>
        <v>0</v>
      </c>
      <c r="BF96" s="275" t="str">
        <f t="shared" si="125"/>
        <v/>
      </c>
    </row>
    <row r="97" s="156" customFormat="1" ht="22.15" hidden="1" customHeight="1" spans="1:58">
      <c r="A97" s="182"/>
      <c r="B97" s="182"/>
      <c r="C97" s="182"/>
      <c r="D97" s="182"/>
      <c r="E97" s="182"/>
      <c r="F97" s="182"/>
      <c r="G97" s="183"/>
      <c r="H97" s="184"/>
      <c r="I97" s="199"/>
      <c r="J97" s="199"/>
      <c r="K97" s="184"/>
      <c r="L97" s="182"/>
      <c r="M97" s="182"/>
      <c r="N97" s="182"/>
      <c r="O97" s="182"/>
      <c r="P97" s="284"/>
      <c r="Q97" s="223"/>
      <c r="R97" s="224"/>
      <c r="S97" s="224"/>
      <c r="T97" s="202"/>
      <c r="U97" s="225"/>
      <c r="V97" s="225"/>
      <c r="W97" s="227"/>
      <c r="X97" s="227"/>
      <c r="Y97" s="227"/>
      <c r="Z97" s="227"/>
      <c r="AA97" s="227"/>
      <c r="AB97" s="239">
        <f t="shared" si="124"/>
        <v>0</v>
      </c>
      <c r="AC97" s="240">
        <f>设备类勘察表!E115</f>
        <v>0</v>
      </c>
      <c r="AD97" s="241"/>
      <c r="AE97" s="242"/>
      <c r="AF97" s="242"/>
      <c r="AG97" s="249"/>
      <c r="AH97" s="249"/>
      <c r="AI97" s="250"/>
      <c r="AJ97" s="251"/>
      <c r="AK97" s="242"/>
      <c r="AL97" s="251"/>
      <c r="AM97" s="242"/>
      <c r="AN97" s="251"/>
      <c r="AO97" s="242"/>
      <c r="AP97" s="242"/>
      <c r="AQ97" s="250"/>
      <c r="AR97" s="251"/>
      <c r="AS97" s="251"/>
      <c r="AT97" s="265"/>
      <c r="AU97" s="239"/>
      <c r="AV97" s="227"/>
      <c r="AW97" s="272"/>
      <c r="AX97" s="225"/>
      <c r="AY97" s="242">
        <f t="shared" si="121"/>
        <v>0</v>
      </c>
      <c r="AZ97" s="241"/>
      <c r="BA97" s="241"/>
      <c r="BB97" s="241"/>
      <c r="BC97" s="242">
        <f t="shared" si="122"/>
        <v>0</v>
      </c>
      <c r="BD97" s="251"/>
      <c r="BE97" s="239">
        <f t="shared" si="123"/>
        <v>0</v>
      </c>
      <c r="BF97" s="275" t="str">
        <f t="shared" si="125"/>
        <v/>
      </c>
    </row>
    <row r="98" s="156" customFormat="1" ht="22.15" hidden="1" customHeight="1" spans="1:58">
      <c r="A98" s="182"/>
      <c r="B98" s="182"/>
      <c r="C98" s="182"/>
      <c r="D98" s="182"/>
      <c r="E98" s="182"/>
      <c r="F98" s="182"/>
      <c r="G98" s="183"/>
      <c r="H98" s="184"/>
      <c r="I98" s="199">
        <f>AT98</f>
        <v>0</v>
      </c>
      <c r="J98" s="199"/>
      <c r="K98" s="184">
        <f>AU98</f>
        <v>0</v>
      </c>
      <c r="L98" s="182">
        <f>AY98</f>
        <v>0</v>
      </c>
      <c r="M98" s="182">
        <f>AZ98</f>
        <v>0</v>
      </c>
      <c r="N98" s="182">
        <f>BA98</f>
        <v>0</v>
      </c>
      <c r="O98" s="182">
        <f>BB98</f>
        <v>0</v>
      </c>
      <c r="P98" s="284">
        <f>SUM(L98:O98)</f>
        <v>0</v>
      </c>
      <c r="Q98" s="223">
        <f>BE98</f>
        <v>0</v>
      </c>
      <c r="R98" s="224" t="str">
        <f>BF98</f>
        <v/>
      </c>
      <c r="S98" s="224"/>
      <c r="T98" s="202"/>
      <c r="U98" s="225"/>
      <c r="V98" s="225"/>
      <c r="W98" s="227"/>
      <c r="X98" s="227"/>
      <c r="Y98" s="227"/>
      <c r="Z98" s="227"/>
      <c r="AA98" s="227"/>
      <c r="AB98" s="239">
        <f t="shared" si="124"/>
        <v>0</v>
      </c>
      <c r="AC98" s="240">
        <f>设备类勘察表!E116</f>
        <v>0</v>
      </c>
      <c r="AD98" s="241"/>
      <c r="AE98" s="242">
        <f>IF(AD98=0,0,IF(G98="否",ROUND((设定!$C$4-机器设备及辅助设施评估明细表!AC98)/365,2),0))</f>
        <v>0</v>
      </c>
      <c r="AF98" s="242">
        <f>IF(AE98=0,0,IF((AD98-AE98)&lt;2,2,(AD98-AE98)))</f>
        <v>0</v>
      </c>
      <c r="AG98" s="249">
        <f>IF(AE98=0,0,ROUND(AF98/(AE98+AF98)*100,0))</f>
        <v>0</v>
      </c>
      <c r="AH98" s="249"/>
      <c r="AI98" s="250" t="str">
        <f>IF(G98="否",IF($AM$3="是",40%,""),"")</f>
        <v/>
      </c>
      <c r="AJ98" s="251"/>
      <c r="AK98" s="242">
        <f>IF(AJ98="",0,VLOOKUP(AJ98,成新率说明!$H$3:$I$6,2,0))</f>
        <v>0</v>
      </c>
      <c r="AL98" s="251"/>
      <c r="AM98" s="242">
        <f>IF(AL98="",0,VLOOKUP(AL98,成新率说明!$H$7:$I$11,2,0))</f>
        <v>0</v>
      </c>
      <c r="AN98" s="251"/>
      <c r="AO98" s="242">
        <f>IF(AN98="",0,VLOOKUP(AN98,成新率说明!$H$12:$I$15,2,0))</f>
        <v>0</v>
      </c>
      <c r="AP98" s="242">
        <f>AK98+AM98+AO98</f>
        <v>0</v>
      </c>
      <c r="AQ98" s="250" t="str">
        <f>IF(G98="否",IF($AM$3="是",60%,""),"")</f>
        <v/>
      </c>
      <c r="AR98" s="251"/>
      <c r="AS98" s="251"/>
      <c r="AT98" s="265">
        <f>IF(G98="否",IF($AM$3="是",ROUND(AG98*AI98+AP98*AQ98,0)-AR98-AS98,AG98-AR98-AS98),0)</f>
        <v>0</v>
      </c>
      <c r="AU98" s="239">
        <f>ROUND(AB98*AT98/100,0)</f>
        <v>0</v>
      </c>
      <c r="AV98" s="227"/>
      <c r="AW98" s="272">
        <f>IF(AV98="",0,VLOOKUP(AV98,残值率参考表!$C$4:$D$23,2,0))</f>
        <v>0</v>
      </c>
      <c r="AX98" s="225"/>
      <c r="AY98" s="242">
        <f t="shared" si="121"/>
        <v>0</v>
      </c>
      <c r="AZ98" s="241"/>
      <c r="BA98" s="241"/>
      <c r="BB98" s="241"/>
      <c r="BC98" s="242">
        <f t="shared" si="122"/>
        <v>0</v>
      </c>
      <c r="BD98" s="251"/>
      <c r="BE98" s="239">
        <f t="shared" si="123"/>
        <v>0</v>
      </c>
      <c r="BF98" s="275" t="str">
        <f t="shared" si="125"/>
        <v/>
      </c>
    </row>
    <row r="99" s="156" customFormat="1" ht="22.15" hidden="1" customHeight="1" spans="1:58">
      <c r="A99" s="182"/>
      <c r="B99" s="182"/>
      <c r="C99" s="182"/>
      <c r="D99" s="182"/>
      <c r="E99" s="182"/>
      <c r="F99" s="182"/>
      <c r="G99" s="183"/>
      <c r="H99" s="184"/>
      <c r="I99" s="199">
        <f>AT99</f>
        <v>0</v>
      </c>
      <c r="J99" s="199"/>
      <c r="K99" s="184">
        <f>AU99</f>
        <v>0</v>
      </c>
      <c r="L99" s="182">
        <f>AY99</f>
        <v>0</v>
      </c>
      <c r="M99" s="182">
        <f>AZ99</f>
        <v>0</v>
      </c>
      <c r="N99" s="182">
        <f>BA99</f>
        <v>0</v>
      </c>
      <c r="O99" s="182">
        <f>BB99</f>
        <v>0</v>
      </c>
      <c r="P99" s="284">
        <f>SUM(L99:O99)</f>
        <v>0</v>
      </c>
      <c r="Q99" s="223">
        <f>BE99</f>
        <v>0</v>
      </c>
      <c r="R99" s="224" t="str">
        <f>BF99</f>
        <v/>
      </c>
      <c r="S99" s="224"/>
      <c r="T99" s="202"/>
      <c r="U99" s="225"/>
      <c r="V99" s="225"/>
      <c r="W99" s="227"/>
      <c r="X99" s="227"/>
      <c r="Y99" s="227"/>
      <c r="Z99" s="227"/>
      <c r="AA99" s="227"/>
      <c r="AB99" s="239">
        <f t="shared" si="124"/>
        <v>0</v>
      </c>
      <c r="AC99" s="240">
        <f>设备类勘察表!E117</f>
        <v>0</v>
      </c>
      <c r="AD99" s="241"/>
      <c r="AE99" s="242">
        <f>IF(AD99=0,0,IF(G99="否",ROUND((设定!$C$4-机器设备及辅助设施评估明细表!AC99)/365,2),0))</f>
        <v>0</v>
      </c>
      <c r="AF99" s="242">
        <f>IF(AE99=0,0,IF((AD99-AE99)&lt;2,2,(AD99-AE99)))</f>
        <v>0</v>
      </c>
      <c r="AG99" s="249">
        <f>IF(AE99=0,0,ROUND(AF99/(AE99+AF99)*100,0))</f>
        <v>0</v>
      </c>
      <c r="AH99" s="249"/>
      <c r="AI99" s="250" t="str">
        <f>IF(G99="否",IF($AM$3="是",40%,""),"")</f>
        <v/>
      </c>
      <c r="AJ99" s="251"/>
      <c r="AK99" s="242">
        <f>IF(AJ99="",0,VLOOKUP(AJ99,成新率说明!$H$3:$I$6,2,0))</f>
        <v>0</v>
      </c>
      <c r="AL99" s="251"/>
      <c r="AM99" s="242">
        <f>IF(AL99="",0,VLOOKUP(AL99,成新率说明!$H$7:$I$11,2,0))</f>
        <v>0</v>
      </c>
      <c r="AN99" s="251"/>
      <c r="AO99" s="242">
        <f>IF(AN99="",0,VLOOKUP(AN99,成新率说明!$H$12:$I$15,2,0))</f>
        <v>0</v>
      </c>
      <c r="AP99" s="242">
        <f>AK99+AM99+AO99</f>
        <v>0</v>
      </c>
      <c r="AQ99" s="250" t="str">
        <f>IF(G99="否",IF($AM$3="是",60%,""),"")</f>
        <v/>
      </c>
      <c r="AR99" s="251"/>
      <c r="AS99" s="251"/>
      <c r="AT99" s="265">
        <f>IF(G99="否",IF($AM$3="是",ROUND(AG99*AI99+AP99*AQ99,0)-AR99-AS99,AG99-AR99-AS99),0)</f>
        <v>0</v>
      </c>
      <c r="AU99" s="239">
        <f>ROUND(AB99*AT99/100,0)</f>
        <v>0</v>
      </c>
      <c r="AV99" s="227"/>
      <c r="AW99" s="272">
        <f>IF(AV99="",0,VLOOKUP(AV99,残值率参考表!$C$4:$D$23,2,0))</f>
        <v>0</v>
      </c>
      <c r="AX99" s="225"/>
      <c r="AY99" s="242">
        <f t="shared" si="121"/>
        <v>0</v>
      </c>
      <c r="AZ99" s="241"/>
      <c r="BA99" s="241"/>
      <c r="BB99" s="241"/>
      <c r="BC99" s="242">
        <f t="shared" si="122"/>
        <v>0</v>
      </c>
      <c r="BD99" s="251"/>
      <c r="BE99" s="239">
        <f t="shared" si="123"/>
        <v>0</v>
      </c>
      <c r="BF99" s="275" t="str">
        <f t="shared" si="125"/>
        <v/>
      </c>
    </row>
    <row r="100" s="156" customFormat="1" ht="22.15" hidden="1" customHeight="1" spans="1:58">
      <c r="A100" s="182"/>
      <c r="B100" s="182"/>
      <c r="C100" s="182"/>
      <c r="D100" s="182"/>
      <c r="E100" s="182"/>
      <c r="F100" s="182"/>
      <c r="G100" s="183"/>
      <c r="H100" s="184"/>
      <c r="I100" s="199"/>
      <c r="J100" s="199"/>
      <c r="K100" s="184"/>
      <c r="L100" s="182"/>
      <c r="M100" s="182"/>
      <c r="N100" s="182"/>
      <c r="O100" s="182"/>
      <c r="P100" s="284"/>
      <c r="Q100" s="223"/>
      <c r="R100" s="224"/>
      <c r="S100" s="224"/>
      <c r="T100" s="202"/>
      <c r="U100" s="225"/>
      <c r="V100" s="225"/>
      <c r="W100" s="227"/>
      <c r="X100" s="227"/>
      <c r="Y100" s="227"/>
      <c r="Z100" s="227"/>
      <c r="AA100" s="227"/>
      <c r="AB100" s="239">
        <f t="shared" si="124"/>
        <v>0</v>
      </c>
      <c r="AC100" s="240">
        <f>设备类勘察表!E118</f>
        <v>0</v>
      </c>
      <c r="AD100" s="241"/>
      <c r="AE100" s="242"/>
      <c r="AF100" s="242"/>
      <c r="AG100" s="249"/>
      <c r="AH100" s="249"/>
      <c r="AI100" s="250"/>
      <c r="AJ100" s="251"/>
      <c r="AK100" s="242"/>
      <c r="AL100" s="251"/>
      <c r="AM100" s="242"/>
      <c r="AN100" s="251"/>
      <c r="AO100" s="242"/>
      <c r="AP100" s="242"/>
      <c r="AQ100" s="250"/>
      <c r="AR100" s="251"/>
      <c r="AS100" s="251"/>
      <c r="AT100" s="265"/>
      <c r="AU100" s="239"/>
      <c r="AV100" s="227"/>
      <c r="AW100" s="272"/>
      <c r="AX100" s="225"/>
      <c r="AY100" s="242">
        <f t="shared" si="121"/>
        <v>0</v>
      </c>
      <c r="AZ100" s="241"/>
      <c r="BA100" s="241"/>
      <c r="BB100" s="241"/>
      <c r="BC100" s="242">
        <f t="shared" si="122"/>
        <v>0</v>
      </c>
      <c r="BD100" s="251"/>
      <c r="BE100" s="239">
        <f t="shared" si="123"/>
        <v>0</v>
      </c>
      <c r="BF100" s="275" t="str">
        <f t="shared" si="125"/>
        <v/>
      </c>
    </row>
    <row r="101" s="156" customFormat="1" ht="22.15" hidden="1" customHeight="1" spans="1:58">
      <c r="A101" s="182"/>
      <c r="B101" s="182"/>
      <c r="C101" s="182"/>
      <c r="D101" s="182"/>
      <c r="E101" s="182"/>
      <c r="F101" s="182"/>
      <c r="G101" s="183"/>
      <c r="H101" s="184"/>
      <c r="I101" s="199"/>
      <c r="J101" s="199"/>
      <c r="K101" s="184"/>
      <c r="L101" s="182"/>
      <c r="M101" s="182"/>
      <c r="N101" s="182"/>
      <c r="O101" s="182"/>
      <c r="P101" s="284"/>
      <c r="Q101" s="223"/>
      <c r="R101" s="224"/>
      <c r="S101" s="224"/>
      <c r="T101" s="202"/>
      <c r="U101" s="225"/>
      <c r="V101" s="225"/>
      <c r="W101" s="227"/>
      <c r="X101" s="227"/>
      <c r="Y101" s="227"/>
      <c r="Z101" s="227"/>
      <c r="AA101" s="227"/>
      <c r="AB101" s="239">
        <f t="shared" si="124"/>
        <v>0</v>
      </c>
      <c r="AC101" s="240">
        <f>设备类勘察表!E119</f>
        <v>0</v>
      </c>
      <c r="AD101" s="241"/>
      <c r="AE101" s="242"/>
      <c r="AF101" s="242"/>
      <c r="AG101" s="249"/>
      <c r="AH101" s="249"/>
      <c r="AI101" s="250"/>
      <c r="AJ101" s="251"/>
      <c r="AK101" s="242"/>
      <c r="AL101" s="251"/>
      <c r="AM101" s="242"/>
      <c r="AN101" s="251"/>
      <c r="AO101" s="242"/>
      <c r="AP101" s="242"/>
      <c r="AQ101" s="250"/>
      <c r="AR101" s="251"/>
      <c r="AS101" s="251"/>
      <c r="AT101" s="265"/>
      <c r="AU101" s="239"/>
      <c r="AV101" s="227"/>
      <c r="AW101" s="272"/>
      <c r="AX101" s="225"/>
      <c r="AY101" s="242">
        <f t="shared" si="121"/>
        <v>0</v>
      </c>
      <c r="AZ101" s="241"/>
      <c r="BA101" s="241"/>
      <c r="BB101" s="241"/>
      <c r="BC101" s="242">
        <f t="shared" si="122"/>
        <v>0</v>
      </c>
      <c r="BD101" s="251"/>
      <c r="BE101" s="239">
        <f t="shared" si="123"/>
        <v>0</v>
      </c>
      <c r="BF101" s="275" t="str">
        <f t="shared" si="125"/>
        <v/>
      </c>
    </row>
    <row r="102" s="156" customFormat="1" ht="22.15" hidden="1" customHeight="1" spans="1:58">
      <c r="A102" s="182"/>
      <c r="B102" s="182"/>
      <c r="C102" s="182"/>
      <c r="D102" s="182"/>
      <c r="E102" s="182"/>
      <c r="F102" s="182"/>
      <c r="G102" s="183"/>
      <c r="H102" s="184"/>
      <c r="I102" s="199"/>
      <c r="J102" s="199"/>
      <c r="K102" s="184"/>
      <c r="L102" s="182"/>
      <c r="M102" s="182"/>
      <c r="N102" s="182"/>
      <c r="O102" s="182"/>
      <c r="P102" s="284"/>
      <c r="Q102" s="223"/>
      <c r="R102" s="224"/>
      <c r="S102" s="224"/>
      <c r="T102" s="202"/>
      <c r="U102" s="225"/>
      <c r="V102" s="225"/>
      <c r="W102" s="227"/>
      <c r="X102" s="227"/>
      <c r="Y102" s="227"/>
      <c r="Z102" s="227"/>
      <c r="AA102" s="227"/>
      <c r="AB102" s="239">
        <f t="shared" si="124"/>
        <v>0</v>
      </c>
      <c r="AC102" s="240">
        <f>设备类勘察表!E120</f>
        <v>0</v>
      </c>
      <c r="AD102" s="241"/>
      <c r="AE102" s="242"/>
      <c r="AF102" s="242"/>
      <c r="AG102" s="249"/>
      <c r="AH102" s="249"/>
      <c r="AI102" s="250"/>
      <c r="AJ102" s="251"/>
      <c r="AK102" s="242"/>
      <c r="AL102" s="251"/>
      <c r="AM102" s="242"/>
      <c r="AN102" s="251"/>
      <c r="AO102" s="242"/>
      <c r="AP102" s="242"/>
      <c r="AQ102" s="250"/>
      <c r="AR102" s="251"/>
      <c r="AS102" s="251"/>
      <c r="AT102" s="265"/>
      <c r="AU102" s="239"/>
      <c r="AV102" s="227"/>
      <c r="AW102" s="272"/>
      <c r="AX102" s="225"/>
      <c r="AY102" s="242">
        <f t="shared" si="121"/>
        <v>0</v>
      </c>
      <c r="AZ102" s="241"/>
      <c r="BA102" s="241"/>
      <c r="BB102" s="241"/>
      <c r="BC102" s="242">
        <f t="shared" si="122"/>
        <v>0</v>
      </c>
      <c r="BD102" s="251"/>
      <c r="BE102" s="239">
        <f t="shared" si="123"/>
        <v>0</v>
      </c>
      <c r="BF102" s="275" t="str">
        <f t="shared" si="125"/>
        <v/>
      </c>
    </row>
    <row r="103" s="156" customFormat="1" ht="22.15" hidden="1" customHeight="1" spans="1:58">
      <c r="A103" s="182"/>
      <c r="B103" s="182"/>
      <c r="C103" s="182"/>
      <c r="D103" s="182"/>
      <c r="E103" s="182"/>
      <c r="F103" s="182"/>
      <c r="G103" s="183"/>
      <c r="H103" s="184"/>
      <c r="I103" s="199"/>
      <c r="J103" s="199"/>
      <c r="K103" s="184"/>
      <c r="L103" s="182"/>
      <c r="M103" s="182"/>
      <c r="N103" s="182"/>
      <c r="O103" s="182"/>
      <c r="P103" s="284"/>
      <c r="Q103" s="223"/>
      <c r="R103" s="224"/>
      <c r="S103" s="224"/>
      <c r="T103" s="202"/>
      <c r="U103" s="225"/>
      <c r="V103" s="225"/>
      <c r="W103" s="227"/>
      <c r="X103" s="227"/>
      <c r="Y103" s="227"/>
      <c r="Z103" s="227"/>
      <c r="AA103" s="227"/>
      <c r="AB103" s="239">
        <f t="shared" si="124"/>
        <v>0</v>
      </c>
      <c r="AC103" s="240">
        <f>设备类勘察表!E121</f>
        <v>0</v>
      </c>
      <c r="AD103" s="241"/>
      <c r="AE103" s="242"/>
      <c r="AF103" s="242"/>
      <c r="AG103" s="249"/>
      <c r="AH103" s="249"/>
      <c r="AI103" s="250"/>
      <c r="AJ103" s="251"/>
      <c r="AK103" s="242"/>
      <c r="AL103" s="251"/>
      <c r="AM103" s="242"/>
      <c r="AN103" s="251"/>
      <c r="AO103" s="242"/>
      <c r="AP103" s="242"/>
      <c r="AQ103" s="250"/>
      <c r="AR103" s="251"/>
      <c r="AS103" s="251"/>
      <c r="AT103" s="265"/>
      <c r="AU103" s="239"/>
      <c r="AV103" s="227"/>
      <c r="AW103" s="272"/>
      <c r="AX103" s="225"/>
      <c r="AY103" s="242">
        <f t="shared" si="121"/>
        <v>0</v>
      </c>
      <c r="AZ103" s="241"/>
      <c r="BA103" s="241"/>
      <c r="BB103" s="241"/>
      <c r="BC103" s="242">
        <f t="shared" si="122"/>
        <v>0</v>
      </c>
      <c r="BD103" s="251"/>
      <c r="BE103" s="239">
        <f t="shared" si="123"/>
        <v>0</v>
      </c>
      <c r="BF103" s="275" t="str">
        <f t="shared" si="125"/>
        <v/>
      </c>
    </row>
    <row r="104" s="156" customFormat="1" ht="22.15" hidden="1" customHeight="1" spans="1:58">
      <c r="A104" s="182"/>
      <c r="B104" s="182"/>
      <c r="C104" s="182"/>
      <c r="D104" s="182"/>
      <c r="E104" s="182"/>
      <c r="F104" s="182"/>
      <c r="G104" s="183"/>
      <c r="H104" s="184"/>
      <c r="I104" s="199"/>
      <c r="J104" s="199"/>
      <c r="K104" s="184"/>
      <c r="L104" s="182"/>
      <c r="M104" s="182"/>
      <c r="N104" s="182"/>
      <c r="O104" s="182"/>
      <c r="P104" s="284"/>
      <c r="Q104" s="223"/>
      <c r="R104" s="224"/>
      <c r="S104" s="224"/>
      <c r="T104" s="202"/>
      <c r="U104" s="225"/>
      <c r="V104" s="225"/>
      <c r="W104" s="227"/>
      <c r="X104" s="227"/>
      <c r="Y104" s="227"/>
      <c r="Z104" s="227"/>
      <c r="AA104" s="227"/>
      <c r="AB104" s="239">
        <f t="shared" si="124"/>
        <v>0</v>
      </c>
      <c r="AC104" s="240">
        <f>设备类勘察表!E122</f>
        <v>0</v>
      </c>
      <c r="AD104" s="241"/>
      <c r="AE104" s="242"/>
      <c r="AF104" s="242"/>
      <c r="AG104" s="249"/>
      <c r="AH104" s="249"/>
      <c r="AI104" s="250"/>
      <c r="AJ104" s="251"/>
      <c r="AK104" s="242"/>
      <c r="AL104" s="251"/>
      <c r="AM104" s="242"/>
      <c r="AN104" s="251"/>
      <c r="AO104" s="242"/>
      <c r="AP104" s="242"/>
      <c r="AQ104" s="250"/>
      <c r="AR104" s="251"/>
      <c r="AS104" s="251"/>
      <c r="AT104" s="265"/>
      <c r="AU104" s="239"/>
      <c r="AV104" s="227"/>
      <c r="AW104" s="272"/>
      <c r="AX104" s="225"/>
      <c r="AY104" s="242">
        <f t="shared" si="121"/>
        <v>0</v>
      </c>
      <c r="AZ104" s="241"/>
      <c r="BA104" s="241"/>
      <c r="BB104" s="241"/>
      <c r="BC104" s="242">
        <f t="shared" si="122"/>
        <v>0</v>
      </c>
      <c r="BD104" s="251"/>
      <c r="BE104" s="239">
        <f t="shared" si="123"/>
        <v>0</v>
      </c>
      <c r="BF104" s="275" t="str">
        <f t="shared" si="125"/>
        <v/>
      </c>
    </row>
    <row r="105" s="156" customFormat="1" ht="22.15" hidden="1" customHeight="1" spans="1:58">
      <c r="A105" s="182"/>
      <c r="B105" s="182"/>
      <c r="C105" s="182"/>
      <c r="D105" s="182"/>
      <c r="E105" s="182"/>
      <c r="F105" s="182"/>
      <c r="G105" s="183"/>
      <c r="H105" s="184"/>
      <c r="I105" s="199"/>
      <c r="J105" s="199"/>
      <c r="K105" s="184"/>
      <c r="L105" s="182"/>
      <c r="M105" s="182"/>
      <c r="N105" s="182"/>
      <c r="O105" s="182"/>
      <c r="P105" s="284"/>
      <c r="Q105" s="223"/>
      <c r="R105" s="224"/>
      <c r="S105" s="224"/>
      <c r="T105" s="202"/>
      <c r="U105" s="225"/>
      <c r="V105" s="225"/>
      <c r="W105" s="227"/>
      <c r="X105" s="227"/>
      <c r="Y105" s="227"/>
      <c r="Z105" s="227"/>
      <c r="AA105" s="227"/>
      <c r="AB105" s="239">
        <f t="shared" si="124"/>
        <v>0</v>
      </c>
      <c r="AC105" s="240">
        <f>设备类勘察表!E123</f>
        <v>0</v>
      </c>
      <c r="AD105" s="241"/>
      <c r="AE105" s="242"/>
      <c r="AF105" s="242"/>
      <c r="AG105" s="249"/>
      <c r="AH105" s="249"/>
      <c r="AI105" s="250"/>
      <c r="AJ105" s="251"/>
      <c r="AK105" s="242"/>
      <c r="AL105" s="251"/>
      <c r="AM105" s="242"/>
      <c r="AN105" s="251"/>
      <c r="AO105" s="242"/>
      <c r="AP105" s="242"/>
      <c r="AQ105" s="250"/>
      <c r="AR105" s="251"/>
      <c r="AS105" s="251"/>
      <c r="AT105" s="265"/>
      <c r="AU105" s="239"/>
      <c r="AV105" s="227"/>
      <c r="AW105" s="272"/>
      <c r="AX105" s="225"/>
      <c r="AY105" s="242">
        <f t="shared" si="121"/>
        <v>0</v>
      </c>
      <c r="AZ105" s="241"/>
      <c r="BA105" s="241"/>
      <c r="BB105" s="241"/>
      <c r="BC105" s="242">
        <f t="shared" si="122"/>
        <v>0</v>
      </c>
      <c r="BD105" s="251"/>
      <c r="BE105" s="239">
        <f t="shared" si="123"/>
        <v>0</v>
      </c>
      <c r="BF105" s="275" t="str">
        <f t="shared" si="125"/>
        <v/>
      </c>
    </row>
    <row r="106" s="156" customFormat="1" ht="22.15" hidden="1" customHeight="1" spans="1:58">
      <c r="A106" s="182"/>
      <c r="B106" s="182"/>
      <c r="C106" s="182"/>
      <c r="D106" s="182"/>
      <c r="E106" s="182"/>
      <c r="F106" s="182"/>
      <c r="G106" s="183"/>
      <c r="H106" s="184"/>
      <c r="I106" s="199"/>
      <c r="J106" s="199"/>
      <c r="K106" s="184"/>
      <c r="L106" s="182"/>
      <c r="M106" s="182"/>
      <c r="N106" s="182"/>
      <c r="O106" s="182"/>
      <c r="P106" s="284"/>
      <c r="Q106" s="223"/>
      <c r="R106" s="224"/>
      <c r="S106" s="224"/>
      <c r="T106" s="202"/>
      <c r="U106" s="225"/>
      <c r="V106" s="225"/>
      <c r="W106" s="227"/>
      <c r="X106" s="227"/>
      <c r="Y106" s="227"/>
      <c r="Z106" s="227"/>
      <c r="AA106" s="227"/>
      <c r="AB106" s="239">
        <f t="shared" si="124"/>
        <v>0</v>
      </c>
      <c r="AC106" s="240">
        <f>设备类勘察表!E124</f>
        <v>0</v>
      </c>
      <c r="AD106" s="241"/>
      <c r="AE106" s="242"/>
      <c r="AF106" s="242"/>
      <c r="AG106" s="249"/>
      <c r="AH106" s="249"/>
      <c r="AI106" s="250"/>
      <c r="AJ106" s="251"/>
      <c r="AK106" s="242"/>
      <c r="AL106" s="251"/>
      <c r="AM106" s="242"/>
      <c r="AN106" s="251"/>
      <c r="AO106" s="242"/>
      <c r="AP106" s="242"/>
      <c r="AQ106" s="250"/>
      <c r="AR106" s="251"/>
      <c r="AS106" s="251"/>
      <c r="AT106" s="265"/>
      <c r="AU106" s="239"/>
      <c r="AV106" s="227"/>
      <c r="AW106" s="272"/>
      <c r="AX106" s="225"/>
      <c r="AY106" s="242">
        <f t="shared" si="121"/>
        <v>0</v>
      </c>
      <c r="AZ106" s="241"/>
      <c r="BA106" s="241"/>
      <c r="BB106" s="241"/>
      <c r="BC106" s="242">
        <f t="shared" si="122"/>
        <v>0</v>
      </c>
      <c r="BD106" s="251"/>
      <c r="BE106" s="239">
        <f t="shared" si="123"/>
        <v>0</v>
      </c>
      <c r="BF106" s="275" t="str">
        <f t="shared" si="125"/>
        <v/>
      </c>
    </row>
    <row r="107" s="156" customFormat="1" ht="22.15" hidden="1" customHeight="1" spans="1:58">
      <c r="A107" s="182"/>
      <c r="B107" s="182"/>
      <c r="C107" s="182"/>
      <c r="D107" s="182"/>
      <c r="E107" s="182"/>
      <c r="F107" s="182"/>
      <c r="G107" s="183"/>
      <c r="H107" s="184"/>
      <c r="I107" s="199"/>
      <c r="J107" s="199"/>
      <c r="K107" s="184"/>
      <c r="L107" s="182"/>
      <c r="M107" s="182"/>
      <c r="N107" s="182"/>
      <c r="O107" s="182"/>
      <c r="P107" s="284"/>
      <c r="Q107" s="223"/>
      <c r="R107" s="224"/>
      <c r="S107" s="224"/>
      <c r="T107" s="202"/>
      <c r="U107" s="225"/>
      <c r="V107" s="225"/>
      <c r="W107" s="227"/>
      <c r="X107" s="227"/>
      <c r="Y107" s="227"/>
      <c r="Z107" s="227"/>
      <c r="AA107" s="227"/>
      <c r="AB107" s="239">
        <f t="shared" si="124"/>
        <v>0</v>
      </c>
      <c r="AC107" s="240">
        <f>设备类勘察表!E125</f>
        <v>0</v>
      </c>
      <c r="AD107" s="241"/>
      <c r="AE107" s="242"/>
      <c r="AF107" s="242"/>
      <c r="AG107" s="249"/>
      <c r="AH107" s="249"/>
      <c r="AI107" s="250"/>
      <c r="AJ107" s="251"/>
      <c r="AK107" s="242"/>
      <c r="AL107" s="251"/>
      <c r="AM107" s="242"/>
      <c r="AN107" s="251"/>
      <c r="AO107" s="242"/>
      <c r="AP107" s="242"/>
      <c r="AQ107" s="250"/>
      <c r="AR107" s="251"/>
      <c r="AS107" s="251"/>
      <c r="AT107" s="265"/>
      <c r="AU107" s="239"/>
      <c r="AV107" s="227"/>
      <c r="AW107" s="272"/>
      <c r="AX107" s="225"/>
      <c r="AY107" s="242">
        <f t="shared" si="121"/>
        <v>0</v>
      </c>
      <c r="AZ107" s="241"/>
      <c r="BA107" s="241"/>
      <c r="BB107" s="241"/>
      <c r="BC107" s="242">
        <f t="shared" si="122"/>
        <v>0</v>
      </c>
      <c r="BD107" s="251"/>
      <c r="BE107" s="239">
        <f t="shared" si="123"/>
        <v>0</v>
      </c>
      <c r="BF107" s="275" t="str">
        <f t="shared" si="125"/>
        <v/>
      </c>
    </row>
    <row r="108" s="156" customFormat="1" ht="22.15" hidden="1" customHeight="1" spans="1:58">
      <c r="A108" s="182"/>
      <c r="B108" s="182"/>
      <c r="C108" s="182"/>
      <c r="D108" s="182"/>
      <c r="E108" s="182"/>
      <c r="F108" s="182"/>
      <c r="G108" s="183"/>
      <c r="H108" s="184"/>
      <c r="I108" s="199"/>
      <c r="J108" s="199"/>
      <c r="K108" s="184"/>
      <c r="L108" s="182"/>
      <c r="M108" s="182"/>
      <c r="N108" s="182"/>
      <c r="O108" s="182"/>
      <c r="P108" s="284"/>
      <c r="Q108" s="223"/>
      <c r="R108" s="224"/>
      <c r="S108" s="224"/>
      <c r="T108" s="202"/>
      <c r="U108" s="225"/>
      <c r="V108" s="225"/>
      <c r="W108" s="227"/>
      <c r="X108" s="227"/>
      <c r="Y108" s="227"/>
      <c r="Z108" s="227"/>
      <c r="AA108" s="227"/>
      <c r="AB108" s="239">
        <f t="shared" si="124"/>
        <v>0</v>
      </c>
      <c r="AC108" s="240">
        <f>设备类勘察表!E126</f>
        <v>0</v>
      </c>
      <c r="AD108" s="241"/>
      <c r="AE108" s="242"/>
      <c r="AF108" s="242"/>
      <c r="AG108" s="249"/>
      <c r="AH108" s="249"/>
      <c r="AI108" s="250"/>
      <c r="AJ108" s="251"/>
      <c r="AK108" s="242">
        <f>IF(AH108="年限法",0,IF(AJ108=0,0,VLOOKUP(AJ108,成新率说明!$H$3:$I$6,2,0)))</f>
        <v>0</v>
      </c>
      <c r="AL108" s="251"/>
      <c r="AM108" s="242">
        <f>IF(AL108="",0,VLOOKUP(AL108,成新率说明!$H$7:$I$11,2,0))</f>
        <v>0</v>
      </c>
      <c r="AN108" s="251"/>
      <c r="AO108" s="242">
        <f>IF(AH108="年限法",0,IF(AN108=0,0,VLOOKUP(AN108,成新率说明!$H$12:$I$15,2,0)))</f>
        <v>0</v>
      </c>
      <c r="AP108" s="242">
        <f t="shared" ref="AP108:AP115" si="126">AK108+AM108+AO108</f>
        <v>0</v>
      </c>
      <c r="AQ108" s="250"/>
      <c r="AR108" s="251"/>
      <c r="AS108" s="251"/>
      <c r="AT108" s="265">
        <f t="shared" ref="AT108:AT115" si="127">IF(AH108="年限法",AG108,IF(AH108="勘察法",ROUND(AP108/100,2),ROUND(AG108*AI108+AP108*AQ108/100,2)))</f>
        <v>0</v>
      </c>
      <c r="AU108" s="239">
        <f t="shared" ref="AU108:AU115" si="128">ROUND(AB108*(AT108-AW108),0)</f>
        <v>0</v>
      </c>
      <c r="AV108" s="227"/>
      <c r="AW108" s="272">
        <f>IF(AV108="",0,VLOOKUP(AV108,残值率参考表!$C$4:$D$23,2,0))</f>
        <v>0</v>
      </c>
      <c r="AX108" s="225"/>
      <c r="AY108" s="242">
        <f t="shared" si="121"/>
        <v>0</v>
      </c>
      <c r="AZ108" s="241"/>
      <c r="BA108" s="241"/>
      <c r="BB108" s="241"/>
      <c r="BC108" s="242">
        <f t="shared" si="122"/>
        <v>0</v>
      </c>
      <c r="BD108" s="251"/>
      <c r="BE108" s="239">
        <f t="shared" si="123"/>
        <v>0</v>
      </c>
      <c r="BF108" s="275" t="str">
        <f t="shared" si="125"/>
        <v/>
      </c>
    </row>
    <row r="109" s="156" customFormat="1" ht="22.15" hidden="1" customHeight="1" spans="1:58">
      <c r="A109" s="182"/>
      <c r="B109" s="182"/>
      <c r="C109" s="182"/>
      <c r="D109" s="182"/>
      <c r="E109" s="182"/>
      <c r="F109" s="182"/>
      <c r="G109" s="183"/>
      <c r="H109" s="184"/>
      <c r="I109" s="199"/>
      <c r="J109" s="199"/>
      <c r="K109" s="184"/>
      <c r="L109" s="182"/>
      <c r="M109" s="182"/>
      <c r="N109" s="182"/>
      <c r="O109" s="182"/>
      <c r="P109" s="284"/>
      <c r="Q109" s="223"/>
      <c r="R109" s="224"/>
      <c r="S109" s="224"/>
      <c r="T109" s="202"/>
      <c r="U109" s="225"/>
      <c r="V109" s="225"/>
      <c r="W109" s="227"/>
      <c r="X109" s="227"/>
      <c r="Y109" s="227"/>
      <c r="Z109" s="227"/>
      <c r="AA109" s="227"/>
      <c r="AB109" s="239">
        <f t="shared" si="124"/>
        <v>0</v>
      </c>
      <c r="AC109" s="240">
        <f>设备类勘察表!E127</f>
        <v>0</v>
      </c>
      <c r="AD109" s="241"/>
      <c r="AE109" s="242"/>
      <c r="AF109" s="242"/>
      <c r="AG109" s="249"/>
      <c r="AH109" s="249"/>
      <c r="AI109" s="250"/>
      <c r="AJ109" s="251"/>
      <c r="AK109" s="242">
        <f>IF(AH109="年限法",0,IF(AJ109=0,0,VLOOKUP(AJ109,成新率说明!$H$3:$I$6,2,0)))</f>
        <v>0</v>
      </c>
      <c r="AL109" s="251"/>
      <c r="AM109" s="242">
        <f>IF(AL109="",0,VLOOKUP(AL109,成新率说明!$H$7:$I$11,2,0))</f>
        <v>0</v>
      </c>
      <c r="AN109" s="251"/>
      <c r="AO109" s="242">
        <f>IF(AH109="年限法",0,IF(AN109=0,0,VLOOKUP(AN109,成新率说明!$H$12:$I$15,2,0)))</f>
        <v>0</v>
      </c>
      <c r="AP109" s="242">
        <f t="shared" si="126"/>
        <v>0</v>
      </c>
      <c r="AQ109" s="250"/>
      <c r="AR109" s="251"/>
      <c r="AS109" s="251"/>
      <c r="AT109" s="265">
        <f t="shared" si="127"/>
        <v>0</v>
      </c>
      <c r="AU109" s="239">
        <f t="shared" si="128"/>
        <v>0</v>
      </c>
      <c r="AV109" s="227"/>
      <c r="AW109" s="272">
        <f>IF(AV109="",0,VLOOKUP(AV109,残值率参考表!$C$4:$D$23,2,0))</f>
        <v>0</v>
      </c>
      <c r="AX109" s="225"/>
      <c r="AY109" s="242">
        <f t="shared" si="121"/>
        <v>0</v>
      </c>
      <c r="AZ109" s="241"/>
      <c r="BA109" s="241"/>
      <c r="BB109" s="241"/>
      <c r="BC109" s="242">
        <f t="shared" si="122"/>
        <v>0</v>
      </c>
      <c r="BD109" s="251"/>
      <c r="BE109" s="239">
        <f t="shared" si="123"/>
        <v>0</v>
      </c>
      <c r="BF109" s="275" t="str">
        <f t="shared" si="125"/>
        <v/>
      </c>
    </row>
    <row r="110" s="156" customFormat="1" ht="22.15" hidden="1" customHeight="1" spans="1:58">
      <c r="A110" s="182"/>
      <c r="B110" s="182"/>
      <c r="C110" s="182"/>
      <c r="D110" s="182"/>
      <c r="E110" s="182"/>
      <c r="F110" s="182"/>
      <c r="G110" s="183"/>
      <c r="H110" s="184"/>
      <c r="I110" s="199"/>
      <c r="J110" s="199"/>
      <c r="K110" s="184"/>
      <c r="L110" s="182"/>
      <c r="M110" s="182"/>
      <c r="N110" s="182"/>
      <c r="O110" s="182"/>
      <c r="P110" s="284"/>
      <c r="Q110" s="223"/>
      <c r="R110" s="224"/>
      <c r="S110" s="224"/>
      <c r="T110" s="202"/>
      <c r="U110" s="225"/>
      <c r="V110" s="225"/>
      <c r="W110" s="227"/>
      <c r="X110" s="227"/>
      <c r="Y110" s="227"/>
      <c r="Z110" s="227"/>
      <c r="AA110" s="227"/>
      <c r="AB110" s="239">
        <f t="shared" si="124"/>
        <v>0</v>
      </c>
      <c r="AC110" s="240">
        <f>设备类勘察表!E128</f>
        <v>0</v>
      </c>
      <c r="AD110" s="241"/>
      <c r="AE110" s="242"/>
      <c r="AF110" s="242"/>
      <c r="AG110" s="249"/>
      <c r="AH110" s="249"/>
      <c r="AI110" s="250"/>
      <c r="AJ110" s="251"/>
      <c r="AK110" s="242">
        <f>IF(AH110="年限法",0,IF(AJ110=0,0,VLOOKUP(AJ110,成新率说明!$H$3:$I$6,2,0)))</f>
        <v>0</v>
      </c>
      <c r="AL110" s="251"/>
      <c r="AM110" s="242">
        <f>IF(AL110="",0,VLOOKUP(AL110,成新率说明!$H$7:$I$11,2,0))</f>
        <v>0</v>
      </c>
      <c r="AN110" s="251"/>
      <c r="AO110" s="242">
        <f>IF(AH110="年限法",0,IF(AN110=0,0,VLOOKUP(AN110,成新率说明!$H$12:$I$15,2,0)))</f>
        <v>0</v>
      </c>
      <c r="AP110" s="242">
        <f t="shared" si="126"/>
        <v>0</v>
      </c>
      <c r="AQ110" s="250"/>
      <c r="AR110" s="251"/>
      <c r="AS110" s="251"/>
      <c r="AT110" s="265">
        <f t="shared" si="127"/>
        <v>0</v>
      </c>
      <c r="AU110" s="239">
        <f t="shared" si="128"/>
        <v>0</v>
      </c>
      <c r="AV110" s="227"/>
      <c r="AW110" s="272">
        <f>IF(AV110="",0,VLOOKUP(AV110,残值率参考表!$C$4:$D$23,2,0))</f>
        <v>0</v>
      </c>
      <c r="AX110" s="225"/>
      <c r="AY110" s="242">
        <f t="shared" si="121"/>
        <v>0</v>
      </c>
      <c r="AZ110" s="241"/>
      <c r="BA110" s="241"/>
      <c r="BB110" s="241"/>
      <c r="BC110" s="242">
        <f t="shared" si="122"/>
        <v>0</v>
      </c>
      <c r="BD110" s="251"/>
      <c r="BE110" s="239">
        <f t="shared" si="123"/>
        <v>0</v>
      </c>
      <c r="BF110" s="275" t="str">
        <f t="shared" si="125"/>
        <v/>
      </c>
    </row>
    <row r="111" s="156" customFormat="1" ht="22.15" hidden="1" customHeight="1" spans="1:58">
      <c r="A111" s="182"/>
      <c r="B111" s="182"/>
      <c r="C111" s="182"/>
      <c r="D111" s="182"/>
      <c r="E111" s="182"/>
      <c r="F111" s="182"/>
      <c r="G111" s="183"/>
      <c r="H111" s="184"/>
      <c r="I111" s="199"/>
      <c r="J111" s="199"/>
      <c r="K111" s="184"/>
      <c r="L111" s="182"/>
      <c r="M111" s="182"/>
      <c r="N111" s="182"/>
      <c r="O111" s="182"/>
      <c r="P111" s="284"/>
      <c r="Q111" s="223"/>
      <c r="R111" s="224"/>
      <c r="S111" s="224"/>
      <c r="T111" s="202"/>
      <c r="U111" s="225"/>
      <c r="V111" s="225"/>
      <c r="W111" s="227"/>
      <c r="X111" s="227"/>
      <c r="Y111" s="227"/>
      <c r="Z111" s="227"/>
      <c r="AA111" s="227"/>
      <c r="AB111" s="239">
        <f t="shared" si="124"/>
        <v>0</v>
      </c>
      <c r="AC111" s="240">
        <f>设备类勘察表!E129</f>
        <v>0</v>
      </c>
      <c r="AD111" s="241"/>
      <c r="AE111" s="242"/>
      <c r="AF111" s="242"/>
      <c r="AG111" s="249"/>
      <c r="AH111" s="249"/>
      <c r="AI111" s="250"/>
      <c r="AJ111" s="251"/>
      <c r="AK111" s="242">
        <f>IF(AH111="年限法",0,IF(AJ111=0,0,VLOOKUP(AJ111,成新率说明!$H$3:$I$6,2,0)))</f>
        <v>0</v>
      </c>
      <c r="AL111" s="251"/>
      <c r="AM111" s="242">
        <f>IF(AL111="",0,VLOOKUP(AL111,成新率说明!$H$7:$I$11,2,0))</f>
        <v>0</v>
      </c>
      <c r="AN111" s="251"/>
      <c r="AO111" s="242">
        <f>IF(AH111="年限法",0,IF(AN111=0,0,VLOOKUP(AN111,成新率说明!$H$12:$I$15,2,0)))</f>
        <v>0</v>
      </c>
      <c r="AP111" s="242">
        <f t="shared" si="126"/>
        <v>0</v>
      </c>
      <c r="AQ111" s="250"/>
      <c r="AR111" s="251"/>
      <c r="AS111" s="251"/>
      <c r="AT111" s="265">
        <f t="shared" si="127"/>
        <v>0</v>
      </c>
      <c r="AU111" s="239">
        <f t="shared" si="128"/>
        <v>0</v>
      </c>
      <c r="AV111" s="227"/>
      <c r="AW111" s="272">
        <f>IF(AV111="",0,VLOOKUP(AV111,残值率参考表!$C$4:$D$23,2,0))</f>
        <v>0</v>
      </c>
      <c r="AX111" s="225"/>
      <c r="AY111" s="242">
        <f t="shared" si="121"/>
        <v>0</v>
      </c>
      <c r="AZ111" s="241"/>
      <c r="BA111" s="241"/>
      <c r="BB111" s="241"/>
      <c r="BC111" s="242">
        <f t="shared" si="122"/>
        <v>0</v>
      </c>
      <c r="BD111" s="251"/>
      <c r="BE111" s="239">
        <f t="shared" si="123"/>
        <v>0</v>
      </c>
      <c r="BF111" s="275" t="str">
        <f t="shared" si="125"/>
        <v/>
      </c>
    </row>
    <row r="112" s="156" customFormat="1" ht="22.15" hidden="1" customHeight="1" spans="1:58">
      <c r="A112" s="182"/>
      <c r="B112" s="182"/>
      <c r="C112" s="182"/>
      <c r="D112" s="182"/>
      <c r="E112" s="182"/>
      <c r="F112" s="182"/>
      <c r="G112" s="183"/>
      <c r="H112" s="184"/>
      <c r="I112" s="199"/>
      <c r="J112" s="199"/>
      <c r="K112" s="184"/>
      <c r="L112" s="182"/>
      <c r="M112" s="182"/>
      <c r="N112" s="182"/>
      <c r="O112" s="182"/>
      <c r="P112" s="284"/>
      <c r="Q112" s="223"/>
      <c r="R112" s="224"/>
      <c r="S112" s="224"/>
      <c r="T112" s="202"/>
      <c r="U112" s="225"/>
      <c r="V112" s="225"/>
      <c r="W112" s="227"/>
      <c r="X112" s="227"/>
      <c r="Y112" s="227"/>
      <c r="Z112" s="227"/>
      <c r="AA112" s="227"/>
      <c r="AB112" s="239">
        <f t="shared" si="124"/>
        <v>0</v>
      </c>
      <c r="AC112" s="240">
        <f>设备类勘察表!E130</f>
        <v>0</v>
      </c>
      <c r="AD112" s="241"/>
      <c r="AE112" s="242"/>
      <c r="AF112" s="242"/>
      <c r="AG112" s="249"/>
      <c r="AH112" s="249"/>
      <c r="AI112" s="250"/>
      <c r="AJ112" s="251"/>
      <c r="AK112" s="242">
        <f>IF(AH112="年限法",0,IF(AJ112=0,0,VLOOKUP(AJ112,成新率说明!$H$3:$I$6,2,0)))</f>
        <v>0</v>
      </c>
      <c r="AL112" s="251"/>
      <c r="AM112" s="242">
        <f>IF(AL112="",0,VLOOKUP(AL112,成新率说明!$H$7:$I$11,2,0))</f>
        <v>0</v>
      </c>
      <c r="AN112" s="251"/>
      <c r="AO112" s="242">
        <f>IF(AH112="年限法",0,IF(AN112=0,0,VLOOKUP(AN112,成新率说明!$H$12:$I$15,2,0)))</f>
        <v>0</v>
      </c>
      <c r="AP112" s="242">
        <f t="shared" si="126"/>
        <v>0</v>
      </c>
      <c r="AQ112" s="250"/>
      <c r="AR112" s="251"/>
      <c r="AS112" s="251"/>
      <c r="AT112" s="265">
        <f t="shared" si="127"/>
        <v>0</v>
      </c>
      <c r="AU112" s="239">
        <f t="shared" si="128"/>
        <v>0</v>
      </c>
      <c r="AV112" s="227"/>
      <c r="AW112" s="272">
        <f>IF(AV112="",0,VLOOKUP(AV112,残值率参考表!$C$4:$D$23,2,0))</f>
        <v>0</v>
      </c>
      <c r="AX112" s="225"/>
      <c r="AY112" s="242">
        <f t="shared" si="121"/>
        <v>0</v>
      </c>
      <c r="AZ112" s="241"/>
      <c r="BA112" s="241"/>
      <c r="BB112" s="241"/>
      <c r="BC112" s="242">
        <f t="shared" si="122"/>
        <v>0</v>
      </c>
      <c r="BD112" s="251"/>
      <c r="BE112" s="239">
        <f t="shared" si="123"/>
        <v>0</v>
      </c>
      <c r="BF112" s="275" t="str">
        <f t="shared" si="125"/>
        <v/>
      </c>
    </row>
    <row r="113" s="156" customFormat="1" ht="22.15" hidden="1" customHeight="1" spans="1:58">
      <c r="A113" s="182"/>
      <c r="B113" s="182"/>
      <c r="C113" s="182"/>
      <c r="D113" s="182"/>
      <c r="E113" s="182"/>
      <c r="F113" s="182"/>
      <c r="G113" s="183"/>
      <c r="H113" s="184"/>
      <c r="I113" s="199"/>
      <c r="J113" s="199"/>
      <c r="K113" s="184"/>
      <c r="L113" s="182"/>
      <c r="M113" s="182"/>
      <c r="N113" s="182"/>
      <c r="O113" s="182"/>
      <c r="P113" s="284"/>
      <c r="Q113" s="223"/>
      <c r="R113" s="224"/>
      <c r="S113" s="224"/>
      <c r="T113" s="202"/>
      <c r="U113" s="225"/>
      <c r="V113" s="225"/>
      <c r="W113" s="227"/>
      <c r="X113" s="227"/>
      <c r="Y113" s="227"/>
      <c r="Z113" s="227"/>
      <c r="AA113" s="227"/>
      <c r="AB113" s="239">
        <f t="shared" si="124"/>
        <v>0</v>
      </c>
      <c r="AC113" s="240">
        <f>设备类勘察表!E131</f>
        <v>0</v>
      </c>
      <c r="AD113" s="241"/>
      <c r="AE113" s="242"/>
      <c r="AF113" s="242"/>
      <c r="AG113" s="249"/>
      <c r="AH113" s="249"/>
      <c r="AI113" s="250"/>
      <c r="AJ113" s="251"/>
      <c r="AK113" s="242">
        <f>IF(AH113="年限法",0,IF(AJ113=0,0,VLOOKUP(AJ113,成新率说明!$H$3:$I$6,2,0)))</f>
        <v>0</v>
      </c>
      <c r="AL113" s="251"/>
      <c r="AM113" s="242">
        <f>IF(AL113="",0,VLOOKUP(AL113,成新率说明!$H$7:$I$11,2,0))</f>
        <v>0</v>
      </c>
      <c r="AN113" s="251"/>
      <c r="AO113" s="242">
        <f>IF(AH113="年限法",0,IF(AN113=0,0,VLOOKUP(AN113,成新率说明!$H$12:$I$15,2,0)))</f>
        <v>0</v>
      </c>
      <c r="AP113" s="242">
        <f t="shared" si="126"/>
        <v>0</v>
      </c>
      <c r="AQ113" s="250"/>
      <c r="AR113" s="251"/>
      <c r="AS113" s="251"/>
      <c r="AT113" s="265">
        <f t="shared" si="127"/>
        <v>0</v>
      </c>
      <c r="AU113" s="239">
        <f t="shared" si="128"/>
        <v>0</v>
      </c>
      <c r="AV113" s="227"/>
      <c r="AW113" s="272">
        <f>IF(AV113="",0,VLOOKUP(AV113,残值率参考表!$C$4:$D$23,2,0))</f>
        <v>0</v>
      </c>
      <c r="AX113" s="225"/>
      <c r="AY113" s="242">
        <f t="shared" si="121"/>
        <v>0</v>
      </c>
      <c r="AZ113" s="241"/>
      <c r="BA113" s="241"/>
      <c r="BB113" s="241"/>
      <c r="BC113" s="242">
        <f t="shared" si="122"/>
        <v>0</v>
      </c>
      <c r="BD113" s="251"/>
      <c r="BE113" s="239">
        <f t="shared" si="123"/>
        <v>0</v>
      </c>
      <c r="BF113" s="275" t="str">
        <f t="shared" si="125"/>
        <v/>
      </c>
    </row>
    <row r="114" s="156" customFormat="1" ht="22.15" hidden="1" customHeight="1" spans="1:58">
      <c r="A114" s="182"/>
      <c r="B114" s="182"/>
      <c r="C114" s="182"/>
      <c r="D114" s="182"/>
      <c r="E114" s="182"/>
      <c r="F114" s="182"/>
      <c r="G114" s="183"/>
      <c r="H114" s="184"/>
      <c r="I114" s="199"/>
      <c r="J114" s="199"/>
      <c r="K114" s="184"/>
      <c r="L114" s="182"/>
      <c r="M114" s="182"/>
      <c r="N114" s="182"/>
      <c r="O114" s="182"/>
      <c r="P114" s="284"/>
      <c r="Q114" s="223"/>
      <c r="R114" s="224"/>
      <c r="S114" s="224"/>
      <c r="T114" s="202"/>
      <c r="U114" s="225"/>
      <c r="V114" s="225"/>
      <c r="W114" s="227"/>
      <c r="X114" s="227"/>
      <c r="Y114" s="227"/>
      <c r="Z114" s="227"/>
      <c r="AA114" s="227"/>
      <c r="AB114" s="239">
        <f t="shared" si="124"/>
        <v>0</v>
      </c>
      <c r="AC114" s="240">
        <f>设备类勘察表!E132</f>
        <v>0</v>
      </c>
      <c r="AD114" s="241"/>
      <c r="AE114" s="242"/>
      <c r="AF114" s="242"/>
      <c r="AG114" s="249"/>
      <c r="AH114" s="249"/>
      <c r="AI114" s="250"/>
      <c r="AJ114" s="251"/>
      <c r="AK114" s="242">
        <f>IF(AH114="年限法",0,IF(AJ114=0,0,VLOOKUP(AJ114,成新率说明!$H$3:$I$6,2,0)))</f>
        <v>0</v>
      </c>
      <c r="AL114" s="251"/>
      <c r="AM114" s="242">
        <f>IF(AL114="",0,VLOOKUP(AL114,成新率说明!$H$7:$I$11,2,0))</f>
        <v>0</v>
      </c>
      <c r="AN114" s="251"/>
      <c r="AO114" s="242">
        <f>IF(AH114="年限法",0,IF(AN114=0,0,VLOOKUP(AN114,成新率说明!$H$12:$I$15,2,0)))</f>
        <v>0</v>
      </c>
      <c r="AP114" s="242">
        <f t="shared" si="126"/>
        <v>0</v>
      </c>
      <c r="AQ114" s="250"/>
      <c r="AR114" s="251"/>
      <c r="AS114" s="251"/>
      <c r="AT114" s="265">
        <f t="shared" si="127"/>
        <v>0</v>
      </c>
      <c r="AU114" s="239">
        <f t="shared" si="128"/>
        <v>0</v>
      </c>
      <c r="AV114" s="227"/>
      <c r="AW114" s="272">
        <f>IF(AV114="",0,VLOOKUP(AV114,残值率参考表!$C$4:$D$23,2,0))</f>
        <v>0</v>
      </c>
      <c r="AX114" s="225"/>
      <c r="AY114" s="242">
        <f t="shared" si="121"/>
        <v>0</v>
      </c>
      <c r="AZ114" s="241"/>
      <c r="BA114" s="241"/>
      <c r="BB114" s="241"/>
      <c r="BC114" s="242">
        <f t="shared" si="122"/>
        <v>0</v>
      </c>
      <c r="BD114" s="251"/>
      <c r="BE114" s="239">
        <f t="shared" si="123"/>
        <v>0</v>
      </c>
      <c r="BF114" s="275" t="str">
        <f t="shared" si="125"/>
        <v/>
      </c>
    </row>
    <row r="115" s="156" customFormat="1" ht="22.15" hidden="1" customHeight="1" spans="1:58">
      <c r="A115" s="182"/>
      <c r="B115" s="182"/>
      <c r="C115" s="182"/>
      <c r="D115" s="182"/>
      <c r="E115" s="182"/>
      <c r="F115" s="182"/>
      <c r="G115" s="183"/>
      <c r="H115" s="184"/>
      <c r="I115" s="199"/>
      <c r="J115" s="199"/>
      <c r="K115" s="184"/>
      <c r="L115" s="182"/>
      <c r="M115" s="182"/>
      <c r="N115" s="182"/>
      <c r="O115" s="182"/>
      <c r="P115" s="284"/>
      <c r="Q115" s="223"/>
      <c r="R115" s="224"/>
      <c r="S115" s="224"/>
      <c r="T115" s="202"/>
      <c r="U115" s="225"/>
      <c r="V115" s="225"/>
      <c r="W115" s="227"/>
      <c r="X115" s="227"/>
      <c r="Y115" s="227"/>
      <c r="Z115" s="227"/>
      <c r="AA115" s="227"/>
      <c r="AB115" s="239">
        <f t="shared" si="124"/>
        <v>0</v>
      </c>
      <c r="AC115" s="240">
        <f>设备类勘察表!E133</f>
        <v>0</v>
      </c>
      <c r="AD115" s="241"/>
      <c r="AE115" s="242"/>
      <c r="AF115" s="242"/>
      <c r="AG115" s="249"/>
      <c r="AH115" s="249"/>
      <c r="AI115" s="250"/>
      <c r="AJ115" s="251"/>
      <c r="AK115" s="242">
        <f>IF(AH115="年限法",0,IF(AJ115=0,0,VLOOKUP(AJ115,成新率说明!$H$3:$I$6,2,0)))</f>
        <v>0</v>
      </c>
      <c r="AL115" s="251"/>
      <c r="AM115" s="242">
        <f>IF(AL115="",0,VLOOKUP(AL115,成新率说明!$H$7:$I$11,2,0))</f>
        <v>0</v>
      </c>
      <c r="AN115" s="251"/>
      <c r="AO115" s="242">
        <f>IF(AH115="年限法",0,IF(AN115=0,0,VLOOKUP(AN115,成新率说明!$H$12:$I$15,2,0)))</f>
        <v>0</v>
      </c>
      <c r="AP115" s="242">
        <f t="shared" si="126"/>
        <v>0</v>
      </c>
      <c r="AQ115" s="250"/>
      <c r="AR115" s="251"/>
      <c r="AS115" s="251"/>
      <c r="AT115" s="265">
        <f t="shared" si="127"/>
        <v>0</v>
      </c>
      <c r="AU115" s="239">
        <f t="shared" si="128"/>
        <v>0</v>
      </c>
      <c r="AV115" s="227"/>
      <c r="AW115" s="272">
        <f>IF(AV115="",0,VLOOKUP(AV115,残值率参考表!$C$4:$D$23,2,0))</f>
        <v>0</v>
      </c>
      <c r="AX115" s="225"/>
      <c r="AY115" s="242">
        <f t="shared" si="121"/>
        <v>0</v>
      </c>
      <c r="AZ115" s="241"/>
      <c r="BA115" s="241"/>
      <c r="BB115" s="241"/>
      <c r="BC115" s="242">
        <f t="shared" si="122"/>
        <v>0</v>
      </c>
      <c r="BD115" s="251"/>
      <c r="BE115" s="239">
        <f t="shared" si="123"/>
        <v>0</v>
      </c>
      <c r="BF115" s="275" t="str">
        <f t="shared" si="125"/>
        <v/>
      </c>
    </row>
    <row r="116" s="156" customFormat="1" ht="22.15" hidden="1" customHeight="1" spans="1:58">
      <c r="A116" s="182"/>
      <c r="B116" s="182"/>
      <c r="C116" s="182"/>
      <c r="D116" s="182"/>
      <c r="E116" s="182"/>
      <c r="F116" s="182"/>
      <c r="G116" s="276"/>
      <c r="H116" s="184"/>
      <c r="I116" s="199"/>
      <c r="J116" s="199"/>
      <c r="K116" s="184"/>
      <c r="L116" s="182"/>
      <c r="M116" s="182"/>
      <c r="N116" s="182"/>
      <c r="O116" s="182"/>
      <c r="P116" s="284"/>
      <c r="Q116" s="223"/>
      <c r="R116" s="224"/>
      <c r="S116" s="224"/>
      <c r="T116" s="202"/>
      <c r="U116" s="225"/>
      <c r="V116" s="225"/>
      <c r="W116" s="227"/>
      <c r="X116" s="227"/>
      <c r="Y116" s="227"/>
      <c r="Z116" s="227"/>
      <c r="AA116" s="227"/>
      <c r="AB116" s="239"/>
      <c r="AC116" s="240"/>
      <c r="AD116" s="241"/>
      <c r="AE116" s="242"/>
      <c r="AF116" s="242"/>
      <c r="AG116" s="249"/>
      <c r="AH116" s="249"/>
      <c r="AI116" s="250"/>
      <c r="AJ116" s="251"/>
      <c r="AK116" s="242"/>
      <c r="AL116" s="251"/>
      <c r="AM116" s="242"/>
      <c r="AN116" s="251"/>
      <c r="AO116" s="242"/>
      <c r="AP116" s="242"/>
      <c r="AQ116" s="250"/>
      <c r="AR116" s="251"/>
      <c r="AS116" s="251"/>
      <c r="AT116" s="249"/>
      <c r="AU116" s="239"/>
      <c r="AV116" s="227"/>
      <c r="AW116" s="291"/>
      <c r="AX116" s="225"/>
      <c r="AY116" s="242">
        <f t="shared" si="121"/>
        <v>0</v>
      </c>
      <c r="AZ116" s="241"/>
      <c r="BA116" s="241"/>
      <c r="BB116" s="241"/>
      <c r="BC116" s="242"/>
      <c r="BD116" s="251"/>
      <c r="BE116" s="239"/>
      <c r="BF116" s="275" t="str">
        <f t="shared" si="125"/>
        <v/>
      </c>
    </row>
    <row r="117" s="156" customFormat="1" ht="22.15" hidden="1" customHeight="1" spans="1:58">
      <c r="A117" s="182"/>
      <c r="B117" s="182"/>
      <c r="C117" s="182"/>
      <c r="D117" s="182"/>
      <c r="E117" s="182"/>
      <c r="F117" s="182"/>
      <c r="G117" s="276"/>
      <c r="H117" s="184">
        <f>AB117</f>
        <v>0</v>
      </c>
      <c r="I117" s="199">
        <f>AT117</f>
        <v>0</v>
      </c>
      <c r="J117" s="199"/>
      <c r="K117" s="184">
        <f>AU117</f>
        <v>0</v>
      </c>
      <c r="L117" s="182">
        <f>AY117</f>
        <v>0</v>
      </c>
      <c r="M117" s="182">
        <f>AZ117</f>
        <v>0</v>
      </c>
      <c r="N117" s="182">
        <f>BA117</f>
        <v>0</v>
      </c>
      <c r="O117" s="182">
        <f>BB117</f>
        <v>0</v>
      </c>
      <c r="P117" s="284">
        <f>SUM(L117:O117)</f>
        <v>0</v>
      </c>
      <c r="Q117" s="223">
        <f>BE117</f>
        <v>0</v>
      </c>
      <c r="R117" s="224">
        <f>BF117</f>
        <v>0</v>
      </c>
      <c r="S117" s="224"/>
      <c r="T117" s="202"/>
      <c r="U117" s="225"/>
      <c r="V117" s="225"/>
      <c r="W117" s="227"/>
      <c r="X117" s="227"/>
      <c r="Y117" s="227"/>
      <c r="Z117" s="227"/>
      <c r="AA117" s="227"/>
      <c r="AB117" s="239">
        <f>ROUND((U117*(1+W117+X117+Y117)*(1+Z117)*(1+AA117))*F117,0)</f>
        <v>0</v>
      </c>
      <c r="AC117" s="240"/>
      <c r="AD117" s="241"/>
      <c r="AE117" s="242">
        <f>IF(AD117=0,0,IF(G117="否",ROUND((设定!$C$4-机器设备及辅助设施评估明细表!AC117)/365,2),0))</f>
        <v>0</v>
      </c>
      <c r="AF117" s="242">
        <f>IF(AE117=0,0,IF((AD117-AE117)&lt;2,2,(AD117-AE117)))</f>
        <v>0</v>
      </c>
      <c r="AG117" s="249">
        <f>IF(AE117=0,0,ROUND(AF117/(AE117+AF117)*100,0))</f>
        <v>0</v>
      </c>
      <c r="AH117" s="249"/>
      <c r="AI117" s="250" t="str">
        <f>IF(G117="否",IF($AM$3="是",40%,""),"")</f>
        <v/>
      </c>
      <c r="AJ117" s="251"/>
      <c r="AK117" s="242">
        <f>IF(AJ117="",0,VLOOKUP(AJ117,成新率说明!$H$3:$I$6,2,0))</f>
        <v>0</v>
      </c>
      <c r="AL117" s="251"/>
      <c r="AM117" s="242">
        <f>IF(AL117="",0,VLOOKUP(AL117,成新率说明!$H$7:$I$11,2,0))</f>
        <v>0</v>
      </c>
      <c r="AN117" s="251"/>
      <c r="AO117" s="242">
        <f>IF(AN117="",0,VLOOKUP(AN117,成新率说明!$H$12:$I$15,2,0))</f>
        <v>0</v>
      </c>
      <c r="AP117" s="242">
        <f>AK117+AM117+AO117</f>
        <v>0</v>
      </c>
      <c r="AQ117" s="250" t="str">
        <f>IF(G117="否",IF($AM$3="是",60%,""),"")</f>
        <v/>
      </c>
      <c r="AR117" s="251"/>
      <c r="AS117" s="251"/>
      <c r="AT117" s="249">
        <f>IF(G117="否",IF($AM$3="是",ROUND(AG117*AI117+AP117*AQ117,0)-AR117-AS117,AG117-AR117-AS117),0)</f>
        <v>0</v>
      </c>
      <c r="AU117" s="239">
        <f>ROUND(AB117*AT117/100,0)</f>
        <v>0</v>
      </c>
      <c r="AV117" s="227"/>
      <c r="AW117" s="291">
        <f>IF(AV117="",0,VLOOKUP(AV117,残值率参考表!$C$4:$D$23,2,0))</f>
        <v>0</v>
      </c>
      <c r="AX117" s="225"/>
      <c r="AY117" s="242">
        <f t="shared" si="121"/>
        <v>0</v>
      </c>
      <c r="AZ117" s="241"/>
      <c r="BA117" s="241"/>
      <c r="BB117" s="241"/>
      <c r="BC117" s="242">
        <f>[2]设备类评估明细表!O33</f>
        <v>0</v>
      </c>
      <c r="BD117" s="251"/>
      <c r="BE117" s="239">
        <f>IF(AX117=0,IF(G117="可",ROUND(AB117*BC117/100,0),ROUND(AB117*(AT117/100-AW117),0)),ROUND(AX117*F117,0))</f>
        <v>0</v>
      </c>
      <c r="BF117" s="275"/>
    </row>
    <row r="118" s="156" customFormat="1" ht="22.15" hidden="1" customHeight="1" spans="1:58">
      <c r="A118" s="182"/>
      <c r="B118" s="277"/>
      <c r="C118" s="278"/>
      <c r="D118" s="279"/>
      <c r="E118" s="182"/>
      <c r="F118" s="182"/>
      <c r="G118" s="183"/>
      <c r="H118" s="184">
        <f t="shared" ref="H118" si="129">AB118</f>
        <v>0</v>
      </c>
      <c r="I118" s="199">
        <f t="shared" ref="I118" si="130">AT118</f>
        <v>0</v>
      </c>
      <c r="J118" s="199"/>
      <c r="K118" s="184">
        <f t="shared" ref="K118" si="131">AU118</f>
        <v>0</v>
      </c>
      <c r="L118" s="182">
        <f t="shared" ref="L118" si="132">AY118</f>
        <v>0</v>
      </c>
      <c r="M118" s="182">
        <f t="shared" ref="M118" si="133">AZ118</f>
        <v>0</v>
      </c>
      <c r="N118" s="182">
        <f t="shared" ref="N118" si="134">BA118</f>
        <v>0</v>
      </c>
      <c r="O118" s="182">
        <f t="shared" ref="O118" si="135">BB118</f>
        <v>0</v>
      </c>
      <c r="P118" s="284">
        <f t="shared" ref="P118" si="136">SUM(L118:O118)</f>
        <v>0</v>
      </c>
      <c r="Q118" s="223">
        <f t="shared" ref="Q118" si="137">BE118</f>
        <v>0</v>
      </c>
      <c r="R118" s="224" t="str">
        <f t="shared" ref="R118" si="138">BF118</f>
        <v/>
      </c>
      <c r="S118" s="224"/>
      <c r="T118" s="202"/>
      <c r="U118" s="225"/>
      <c r="V118" s="251"/>
      <c r="W118" s="227"/>
      <c r="X118" s="227"/>
      <c r="Y118" s="227"/>
      <c r="Z118" s="227"/>
      <c r="AA118" s="227"/>
      <c r="AB118" s="239">
        <f t="shared" ref="AB118" si="139">ROUND((U118*(1+W118+X118+Y118)*(1+Z118)*(1+AA118))*F118,0)</f>
        <v>0</v>
      </c>
      <c r="AC118" s="240"/>
      <c r="AD118" s="241"/>
      <c r="AE118" s="242">
        <f>IF(AD118=0,0,IF(G118="否",ROUND((设定!$C$4-机器设备及辅助设施评估明细表!AC118)/365,2),0))</f>
        <v>0</v>
      </c>
      <c r="AF118" s="242">
        <f t="shared" ref="AF118" si="140">IF(AE118=0,0,IF((AD118-AE118)&lt;2,2,(AD118-AE118)))</f>
        <v>0</v>
      </c>
      <c r="AG118" s="249">
        <f t="shared" ref="AG118" si="141">IF(AE118=0,0,ROUND(AF118/(AE118+AF118)*100,0))</f>
        <v>0</v>
      </c>
      <c r="AH118" s="249"/>
      <c r="AI118" s="250" t="str">
        <f t="shared" ref="AI118" si="142">IF(G118="否",IF($AM$3="是",40%,""),"")</f>
        <v/>
      </c>
      <c r="AJ118" s="251"/>
      <c r="AK118" s="242">
        <f>IF(AJ118="",0,VLOOKUP(AJ118,成新率说明!$H$3:$I$6,2,0))</f>
        <v>0</v>
      </c>
      <c r="AL118" s="251"/>
      <c r="AM118" s="242">
        <f>IF(AL118="",0,VLOOKUP(AL118,成新率说明!$H$7:$I$11,2,0))</f>
        <v>0</v>
      </c>
      <c r="AN118" s="251"/>
      <c r="AO118" s="242">
        <f>IF(AN118="",0,VLOOKUP(AN118,成新率说明!$H$12:$I$15,2,0))</f>
        <v>0</v>
      </c>
      <c r="AP118" s="242">
        <f t="shared" ref="AP118" si="143">AK118+AM118+AO118</f>
        <v>0</v>
      </c>
      <c r="AQ118" s="250" t="str">
        <f t="shared" ref="AQ118" si="144">IF(G118="否",IF($AM$3="是",60%,""),"")</f>
        <v/>
      </c>
      <c r="AR118" s="251"/>
      <c r="AS118" s="251"/>
      <c r="AT118" s="249">
        <f t="shared" ref="AT118" si="145">IF(G118="否",IF($AM$3="是",ROUND(AG118*AI118+AP118*AQ118,0)-AR118-AS118,AG118-AR118-AS118),0)</f>
        <v>0</v>
      </c>
      <c r="AU118" s="239">
        <f t="shared" ref="AU118" si="146">ROUND(AB118*AT118/100,0)</f>
        <v>0</v>
      </c>
      <c r="AV118" s="227"/>
      <c r="AW118" s="291">
        <f>IF(AV118="",0,VLOOKUP(AV118,残值率参考表!$C$4:$D$23,2,0))</f>
        <v>0</v>
      </c>
      <c r="AX118" s="225"/>
      <c r="AY118" s="242">
        <f t="shared" si="121"/>
        <v>0</v>
      </c>
      <c r="AZ118" s="241"/>
      <c r="BA118" s="241"/>
      <c r="BB118" s="241"/>
      <c r="BC118" s="242">
        <f t="shared" ref="BC118" si="147">SUM(AY118:BB118)</f>
        <v>0</v>
      </c>
      <c r="BD118" s="251"/>
      <c r="BE118" s="239">
        <f t="shared" ref="BE118" si="148">IF(AX118=0,IF(G118="可",ROUND(AB118*BC118/100,0),ROUND(AB118*(AT118/100-AW118),0)),ROUND(AX118*F118,0))</f>
        <v>0</v>
      </c>
      <c r="BF118" s="275" t="str">
        <f t="shared" ref="BF118" si="149">IF(AW118=0,IF(AX118=0,"",AX118&amp;"元/"&amp;E118),("扣除"&amp;AW118*100&amp;"%残值"))</f>
        <v/>
      </c>
    </row>
    <row r="119" s="156" customFormat="1" ht="22.15" hidden="1" customHeight="1" spans="1:58">
      <c r="A119" s="280" t="s">
        <v>70</v>
      </c>
      <c r="B119" s="281"/>
      <c r="C119" s="282"/>
      <c r="D119" s="182"/>
      <c r="E119" s="182"/>
      <c r="F119" s="182"/>
      <c r="G119" s="276"/>
      <c r="H119" s="184">
        <f>SUM(H7:H118)</f>
        <v>6090310</v>
      </c>
      <c r="I119" s="199"/>
      <c r="J119" s="199"/>
      <c r="K119" s="184">
        <f>SUM(K7:K118)</f>
        <v>259389</v>
      </c>
      <c r="L119" s="182"/>
      <c r="M119" s="182"/>
      <c r="N119" s="182"/>
      <c r="O119" s="182"/>
      <c r="P119" s="284"/>
      <c r="Q119" s="184">
        <f>SUM(Q7:Q118)</f>
        <v>1686965</v>
      </c>
      <c r="R119" s="286"/>
      <c r="S119" s="286"/>
      <c r="T119" s="202"/>
      <c r="U119" s="239"/>
      <c r="V119" s="287"/>
      <c r="W119" s="288"/>
      <c r="X119" s="288"/>
      <c r="Y119" s="288"/>
      <c r="Z119" s="288"/>
      <c r="AA119" s="288"/>
      <c r="AB119" s="239">
        <f>SUM(AB7:AB118)</f>
        <v>6090310</v>
      </c>
      <c r="AC119" s="275"/>
      <c r="AD119" s="242"/>
      <c r="AE119" s="242"/>
      <c r="AF119" s="242"/>
      <c r="AG119" s="242"/>
      <c r="AH119" s="242"/>
      <c r="AI119" s="287"/>
      <c r="AJ119" s="287"/>
      <c r="AK119" s="287"/>
      <c r="AL119" s="287"/>
      <c r="AM119" s="287"/>
      <c r="AN119" s="287"/>
      <c r="AO119" s="287"/>
      <c r="AP119" s="287"/>
      <c r="AQ119" s="287"/>
      <c r="AR119" s="287"/>
      <c r="AS119" s="287"/>
      <c r="AT119" s="242"/>
      <c r="AU119" s="290">
        <f>SUM(AU7:AU118)</f>
        <v>259389</v>
      </c>
      <c r="AV119" s="288"/>
      <c r="AW119" s="288"/>
      <c r="AX119" s="239"/>
      <c r="AY119" s="242">
        <f t="shared" si="121"/>
        <v>0</v>
      </c>
      <c r="AZ119" s="242"/>
      <c r="BA119" s="242"/>
      <c r="BB119" s="242"/>
      <c r="BC119" s="242"/>
      <c r="BD119" s="287"/>
      <c r="BE119" s="290">
        <f>SUM(BE7:BE118)</f>
        <v>1686965</v>
      </c>
      <c r="BF119" s="275"/>
    </row>
    <row r="120" ht="21.95" hidden="1" customHeight="1" spans="11:46">
      <c r="K120" s="283" t="s">
        <v>349</v>
      </c>
      <c r="Q120" s="283" t="s">
        <v>350</v>
      </c>
      <c r="AP120" s="161"/>
      <c r="AT120" s="164"/>
    </row>
    <row r="121" ht="21.95" hidden="1" customHeight="1" spans="2:46">
      <c r="B121" s="283" t="s">
        <v>351</v>
      </c>
      <c r="O121" s="285" t="s">
        <v>404</v>
      </c>
      <c r="Q121" s="157">
        <f>SUMIF(G7:G118,U121,Q7:Q118)</f>
        <v>468663</v>
      </c>
      <c r="U121" s="289" t="s">
        <v>343</v>
      </c>
      <c r="AP121" s="161"/>
      <c r="AT121" s="164"/>
    </row>
    <row r="122" ht="21.95" hidden="1" customHeight="1" spans="2:46">
      <c r="B122" s="283" t="s">
        <v>352</v>
      </c>
      <c r="O122" s="285" t="s">
        <v>405</v>
      </c>
      <c r="Q122" s="157">
        <f>SUMIF(G7:G118,U122,Q7:Q118)</f>
        <v>1218302</v>
      </c>
      <c r="U122" s="289" t="s">
        <v>230</v>
      </c>
      <c r="AP122" s="161"/>
      <c r="AT122" s="164"/>
    </row>
  </sheetData>
  <autoFilter ref="A6:BF122">
    <filterColumn colId="6">
      <customFilters>
        <customFilter operator="equal" val="否"/>
      </customFilters>
    </filterColumn>
    <extLst/>
  </autoFilter>
  <mergeCells count="67">
    <mergeCell ref="A2:R2"/>
    <mergeCell ref="Q3:R3"/>
    <mergeCell ref="AI3:AL3"/>
    <mergeCell ref="L4:P4"/>
    <mergeCell ref="W4:AA4"/>
    <mergeCell ref="AC4:AG4"/>
    <mergeCell ref="AI4:AS4"/>
    <mergeCell ref="AV4:AW4"/>
    <mergeCell ref="AY4:BD4"/>
    <mergeCell ref="AJ5:AK5"/>
    <mergeCell ref="AL5:AM5"/>
    <mergeCell ref="AN5:AO5"/>
    <mergeCell ref="A119:C119"/>
    <mergeCell ref="O121:P121"/>
    <mergeCell ref="O122:P122"/>
    <mergeCell ref="A4:A6"/>
    <mergeCell ref="B4:B6"/>
    <mergeCell ref="C4:C6"/>
    <mergeCell ref="D4:D6"/>
    <mergeCell ref="E4:E6"/>
    <mergeCell ref="F4:F6"/>
    <mergeCell ref="G4:G6"/>
    <mergeCell ref="H4:H6"/>
    <mergeCell ref="I4:I6"/>
    <mergeCell ref="J4:J6"/>
    <mergeCell ref="K4:K6"/>
    <mergeCell ref="L5:L6"/>
    <mergeCell ref="M5:M6"/>
    <mergeCell ref="N5:N6"/>
    <mergeCell ref="O5:O6"/>
    <mergeCell ref="P5:P6"/>
    <mergeCell ref="Q4:Q6"/>
    <mergeCell ref="S59:S61"/>
    <mergeCell ref="T4:T5"/>
    <mergeCell ref="U4:U6"/>
    <mergeCell ref="V4:V6"/>
    <mergeCell ref="W5:W6"/>
    <mergeCell ref="X5:X6"/>
    <mergeCell ref="Y5:Y6"/>
    <mergeCell ref="Z5:Z6"/>
    <mergeCell ref="AA5:AA6"/>
    <mergeCell ref="AB4:AB6"/>
    <mergeCell ref="AC5:AC6"/>
    <mergeCell ref="AD5:AD6"/>
    <mergeCell ref="AE5:AE6"/>
    <mergeCell ref="AF5:AF6"/>
    <mergeCell ref="AG5:AG6"/>
    <mergeCell ref="AH4:AH5"/>
    <mergeCell ref="AI5:AI6"/>
    <mergeCell ref="AP5:AP6"/>
    <mergeCell ref="AQ5:AQ6"/>
    <mergeCell ref="AR5:AR6"/>
    <mergeCell ref="AS5:AS6"/>
    <mergeCell ref="AT4:AT6"/>
    <mergeCell ref="AU4:AU6"/>
    <mergeCell ref="AV5:AV6"/>
    <mergeCell ref="AW5:AW6"/>
    <mergeCell ref="AX4:AX6"/>
    <mergeCell ref="AY5:AY6"/>
    <mergeCell ref="AZ5:AZ6"/>
    <mergeCell ref="BA5:BA6"/>
    <mergeCell ref="BB5:BB6"/>
    <mergeCell ref="BC5:BC6"/>
    <mergeCell ref="BD5:BD6"/>
    <mergeCell ref="BE4:BE6"/>
    <mergeCell ref="BF4:BF6"/>
    <mergeCell ref="R4:S6"/>
  </mergeCells>
  <dataValidations count="7">
    <dataValidation type="list" allowBlank="1" showInputMessage="1" showErrorMessage="1" sqref="AN21 AN35 AN36 AN73 AN116 AN7:AN8 AN9:AN10 AN11:AN13 AN14:AN18 AN19:AN20 AN22:AN23 AN24:AN34 AN37:AN38 AN39:AN58 AN59:AN61 AN62:AN63 AN64:AN72 AN74:AN76 AN77:AN84 AN85:AN87 AN88:AN102 AN103:AN115 AN117:AN118">
      <formula1>成新率说明!$H$12:$H$15</formula1>
    </dataValidation>
    <dataValidation type="list" allowBlank="1" showInputMessage="1" showErrorMessage="1" sqref="AV9 AV10 AV14 AV20 AV21 AV35 AV36 AV39 AV59 AV116 AV7:AV8 AV11:AV13 AV15:AV19 AV22:AV24 AV25:AV34 AV37:AV38 AV40:AV58 AV60:AV61 AV62:AV63 AV64:AV65 AV66:AV70 AV71:AV84 AV85:AV87 AV88:AV97 AV98:AV99 AV100:AV102 AV103:AV107 AV108:AV115 AV117:AV118">
      <formula1>残值率参考表!$C$4:$C$23</formula1>
    </dataValidation>
    <dataValidation type="list" allowBlank="1" showInputMessage="1" showErrorMessage="1" sqref="AM3">
      <formula1>"是,否"</formula1>
    </dataValidation>
    <dataValidation type="list" allowBlank="1" showInputMessage="1" showErrorMessage="1" sqref="G7 G10 G11 G19 G20 G21 G58 G59 G118 G8:G9 G12:G13 G14:G15 G16:G18 G22:G24 G25:G38 G39:G42 G43:G57 G60:G61 G62:G64 G65:G72 G73:G76 G77:G115">
      <formula1>"可,否"</formula1>
    </dataValidation>
    <dataValidation type="list" allowBlank="1" showInputMessage="1" showErrorMessage="1" sqref="AL11 AJ21 AJ35 AJ36 AJ59 AJ60 AJ61 AJ116 AJ7:AJ8 AJ9:AJ10 AJ11:AJ13 AJ14:AJ18 AJ19:AJ20 AJ22:AJ23 AJ24:AJ34 AJ37:AJ38 AJ39:AJ58 AJ62:AJ72 AJ73:AJ76 AJ77:AJ84 AJ85:AJ87 AJ88:AJ102 AJ103:AJ115 AJ117:AJ118">
      <formula1>成新率说明!$H$3:$H$6</formula1>
    </dataValidation>
    <dataValidation type="list" allowBlank="1" showInputMessage="1" showErrorMessage="1" sqref="AL21 AL35 AL36 AL39 AL73 AL116 AL7:AL8 AL9:AL10 AL12:AL13 AL14:AL18 AL19:AL20 AL22:AL23 AL24:AL34 AL37:AL38 AL40:AL41 AL42:AL59 AL60:AL61 AL62:AL63 AL64:AL72 AL74:AL76 AL77:AL84 AL85:AL87 AL88:AL102 AL103:AL115 AL117:AL118">
      <formula1>成新率说明!$H$7:$H$11</formula1>
    </dataValidation>
    <dataValidation type="list" allowBlank="1" showInputMessage="1" showErrorMessage="1" sqref="AH35 AH36 AH39 AH61 AH64 AH71 AH7:AH10 AH11:AH13 AH14:AH17 AH18:AH19 AH20:AH23 AH24:AH34 AH37:AH38 AH40:AH41 AH42:AH58 AH59:AH60 AH62:AH63 AH65:AH70 AH72:AH76 AH77:AH84 AH85:AH87 AH88:AH102 AH103:AH115">
      <formula1>"年限法,勘察法,年限法、勘察法"</formula1>
    </dataValidation>
  </dataValidations>
  <printOptions horizontalCentered="1"/>
  <pageMargins left="0.393055555555556" right="0.393055555555556" top="0.472222222222222" bottom="0.904861111111111" header="0.511805555555556" footer="0.511805555555556"/>
  <pageSetup paperSize="9" scale="78" fitToHeight="0" orientation="landscape" blackAndWhite="1" horizontalDpi="600"/>
  <headerFooter alignWithMargins="0">
    <oddFooter>&amp;L填表人：倪晶晶
填表日期：2022年3月23日&amp;C&amp;12评估人员：周婕 王新浩&amp;R&amp;12第 &amp;P 页，共 &amp;N 页</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B1:H29"/>
  <sheetViews>
    <sheetView showZeros="0" workbookViewId="0">
      <selection activeCell="M20" sqref="M20"/>
    </sheetView>
  </sheetViews>
  <sheetFormatPr defaultColWidth="8.875" defaultRowHeight="19.9" customHeight="1" outlineLevelCol="7"/>
  <cols>
    <col min="1" max="1" width="8.875" style="86"/>
    <col min="2" max="2" width="3.5" style="86" customWidth="1"/>
    <col min="3" max="3" width="14.75" style="86" customWidth="1"/>
    <col min="4" max="4" width="14.375" style="86" customWidth="1"/>
    <col min="5" max="5" width="12.625" style="86" customWidth="1"/>
    <col min="6" max="6" width="13" style="86" customWidth="1"/>
    <col min="7" max="7" width="13.75" style="86" customWidth="1"/>
    <col min="8" max="8" width="16.5" style="86" customWidth="1"/>
    <col min="9" max="9" width="10.5" style="86" customWidth="1"/>
    <col min="10" max="16384" width="8.875" style="86"/>
  </cols>
  <sheetData>
    <row r="1" ht="9" customHeight="1"/>
    <row r="2" ht="31.15" customHeight="1" spans="2:8">
      <c r="B2" s="88" t="s">
        <v>406</v>
      </c>
      <c r="C2" s="88"/>
      <c r="D2" s="88"/>
      <c r="E2" s="88"/>
      <c r="F2" s="88"/>
      <c r="G2" s="88"/>
      <c r="H2" s="88"/>
    </row>
    <row r="3" customHeight="1" spans="5:5">
      <c r="E3" s="86" t="str">
        <f>设定!B4&amp;YEAR(设定!C4)&amp;"年"&amp;MONTH(设定!C4)&amp;"月"&amp;DAY(设定!C4)&amp;"日"</f>
        <v>评估基准日：2022年3月17日</v>
      </c>
    </row>
    <row r="4" customHeight="1" spans="2:8">
      <c r="B4" s="86" t="str">
        <f>设定!B3&amp;设定!C3</f>
        <v>被评估单位：江阴市金捷利制管有限公司</v>
      </c>
      <c r="H4" s="86" t="s">
        <v>407</v>
      </c>
    </row>
    <row r="5" ht="25.15" customHeight="1" spans="2:8">
      <c r="B5" s="89" t="s">
        <v>408</v>
      </c>
      <c r="C5" s="90"/>
      <c r="D5" s="91">
        <f>机器设备及辅助设施评估明细表!A7</f>
        <v>1</v>
      </c>
      <c r="E5" s="92" t="s">
        <v>409</v>
      </c>
      <c r="F5" s="91" t="str">
        <f>机器设备及辅助设施评估明细表!B7</f>
        <v>焊管机</v>
      </c>
      <c r="G5" s="92" t="s">
        <v>410</v>
      </c>
      <c r="H5" s="91" t="str">
        <f>机器设备及辅助设施评估明细表!C7</f>
        <v>32机组</v>
      </c>
    </row>
    <row r="6" ht="25.15" customHeight="1" spans="2:8">
      <c r="B6" s="89" t="s">
        <v>411</v>
      </c>
      <c r="C6" s="93"/>
      <c r="D6" s="91"/>
      <c r="E6" s="92" t="s">
        <v>412</v>
      </c>
      <c r="F6" s="91"/>
      <c r="G6" s="92" t="s">
        <v>413</v>
      </c>
      <c r="H6" s="94"/>
    </row>
    <row r="7" ht="25.15" customHeight="1" spans="2:8">
      <c r="B7" s="89" t="s">
        <v>414</v>
      </c>
      <c r="C7" s="93"/>
      <c r="D7" s="95"/>
      <c r="E7" s="92" t="s">
        <v>415</v>
      </c>
      <c r="F7" s="95"/>
      <c r="G7" s="92" t="s">
        <v>416</v>
      </c>
      <c r="H7" s="94"/>
    </row>
    <row r="8" customHeight="1" spans="2:8">
      <c r="B8" s="114" t="s">
        <v>417</v>
      </c>
      <c r="C8" s="115"/>
      <c r="D8" s="115"/>
      <c r="E8" s="115"/>
      <c r="F8" s="115"/>
      <c r="G8" s="115"/>
      <c r="H8" s="115"/>
    </row>
    <row r="9" s="85" customFormat="1" customHeight="1" spans="2:8">
      <c r="B9" s="99" t="s">
        <v>418</v>
      </c>
      <c r="C9" s="117"/>
      <c r="D9" s="142" t="s">
        <v>419</v>
      </c>
      <c r="E9" s="143"/>
      <c r="F9" s="144"/>
      <c r="G9" s="145" t="s">
        <v>420</v>
      </c>
      <c r="H9" s="146" t="s">
        <v>421</v>
      </c>
    </row>
    <row r="10" s="85" customFormat="1" customHeight="1" spans="2:8">
      <c r="B10" s="117"/>
      <c r="C10" s="117"/>
      <c r="D10" s="99" t="s">
        <v>422</v>
      </c>
      <c r="E10" s="117"/>
      <c r="F10" s="99" t="s">
        <v>423</v>
      </c>
      <c r="G10" s="117"/>
      <c r="H10" s="147"/>
    </row>
    <row r="11" ht="25.15" customHeight="1" spans="2:8">
      <c r="B11" s="99">
        <v>1</v>
      </c>
      <c r="C11" s="92" t="s">
        <v>424</v>
      </c>
      <c r="D11" s="99"/>
      <c r="E11" s="117"/>
      <c r="F11" s="92"/>
      <c r="G11" s="148">
        <v>10000</v>
      </c>
      <c r="H11" s="46"/>
    </row>
    <row r="12" ht="25.15" customHeight="1" spans="2:8">
      <c r="B12" s="99">
        <v>2</v>
      </c>
      <c r="C12" s="129" t="s">
        <v>425</v>
      </c>
      <c r="D12" s="99"/>
      <c r="E12" s="117"/>
      <c r="F12" s="92"/>
      <c r="G12" s="149">
        <f>ROUND(G14/2,2)</f>
        <v>0.01</v>
      </c>
      <c r="H12" s="150" t="s">
        <v>426</v>
      </c>
    </row>
    <row r="13" ht="25.15" customHeight="1" spans="2:8">
      <c r="B13" s="99">
        <v>3</v>
      </c>
      <c r="C13" s="151" t="s">
        <v>427</v>
      </c>
      <c r="D13" s="99"/>
      <c r="E13" s="117"/>
      <c r="F13" s="92"/>
      <c r="G13" s="152">
        <v>0.01</v>
      </c>
      <c r="H13" s="12" t="s">
        <v>428</v>
      </c>
    </row>
    <row r="14" ht="25.15" customHeight="1" spans="2:8">
      <c r="B14" s="99">
        <v>4</v>
      </c>
      <c r="C14" s="151" t="s">
        <v>429</v>
      </c>
      <c r="D14" s="153" t="s">
        <v>430</v>
      </c>
      <c r="E14" s="153"/>
      <c r="F14" s="99" t="str">
        <f>IF(D14="","",VLOOKUP(D14,安装调试费率参考指标!$C$5:$D$29,2,0))</f>
        <v>0.5- 2.0</v>
      </c>
      <c r="G14" s="152">
        <v>0.02</v>
      </c>
      <c r="H14" s="46"/>
    </row>
    <row r="15" ht="25.15" customHeight="1" spans="2:8">
      <c r="B15" s="99">
        <v>5</v>
      </c>
      <c r="C15" s="151" t="s">
        <v>431</v>
      </c>
      <c r="D15" s="153" t="s">
        <v>432</v>
      </c>
      <c r="E15" s="153"/>
      <c r="F15" s="99" t="str">
        <f>IF(D15="","",VLOOKUP(D15,设备基础费参考!$G$38:$H$56,2,0))</f>
        <v>5.0～7.0</v>
      </c>
      <c r="G15" s="152">
        <v>0</v>
      </c>
      <c r="H15" s="46"/>
    </row>
    <row r="16" ht="25.15" customHeight="1" spans="2:8">
      <c r="B16" s="99">
        <v>6</v>
      </c>
      <c r="C16" s="151" t="s">
        <v>433</v>
      </c>
      <c r="D16" s="96" t="s">
        <v>434</v>
      </c>
      <c r="E16" s="128"/>
      <c r="F16" s="97"/>
      <c r="G16" s="149">
        <f>SUM(G12:G15)</f>
        <v>0.04</v>
      </c>
      <c r="H16" s="92"/>
    </row>
    <row r="17" ht="25.15" customHeight="1" spans="2:8">
      <c r="B17" s="99">
        <v>7</v>
      </c>
      <c r="C17" s="129" t="s">
        <v>435</v>
      </c>
      <c r="D17" s="96" t="s">
        <v>436</v>
      </c>
      <c r="E17" s="128"/>
      <c r="F17" s="97"/>
      <c r="G17" s="154">
        <f>ROUND(G11*G16,0)</f>
        <v>400</v>
      </c>
      <c r="H17" s="92"/>
    </row>
    <row r="18" ht="25.15" customHeight="1" spans="2:8">
      <c r="B18" s="114" t="s">
        <v>437</v>
      </c>
      <c r="C18" s="115"/>
      <c r="D18" s="115"/>
      <c r="E18" s="115"/>
      <c r="F18" s="115"/>
      <c r="G18" s="115"/>
      <c r="H18" s="115"/>
    </row>
    <row r="19" customHeight="1" spans="2:8">
      <c r="B19" s="41"/>
      <c r="C19" s="41"/>
      <c r="D19" s="41"/>
      <c r="E19" s="41"/>
      <c r="F19" s="41"/>
      <c r="G19" s="41"/>
      <c r="H19" s="41"/>
    </row>
    <row r="20" customHeight="1" spans="2:8">
      <c r="B20" s="41"/>
      <c r="C20" s="41"/>
      <c r="D20" s="41"/>
      <c r="E20" s="41"/>
      <c r="F20" s="41"/>
      <c r="G20" s="41"/>
      <c r="H20" s="41"/>
    </row>
    <row r="21" customHeight="1" spans="2:8">
      <c r="B21" s="41"/>
      <c r="C21" s="41"/>
      <c r="D21" s="41"/>
      <c r="E21" s="41"/>
      <c r="F21" s="41"/>
      <c r="G21" s="41"/>
      <c r="H21" s="41"/>
    </row>
    <row r="22" customHeight="1" spans="2:8">
      <c r="B22" s="41"/>
      <c r="C22" s="41"/>
      <c r="D22" s="41"/>
      <c r="E22" s="41"/>
      <c r="F22" s="41"/>
      <c r="G22" s="41"/>
      <c r="H22" s="41"/>
    </row>
    <row r="23" customHeight="1" spans="2:8">
      <c r="B23" s="41"/>
      <c r="C23" s="41"/>
      <c r="D23" s="41"/>
      <c r="E23" s="41"/>
      <c r="F23" s="41"/>
      <c r="G23" s="41"/>
      <c r="H23" s="41"/>
    </row>
    <row r="24" customHeight="1" spans="2:8">
      <c r="B24" s="41"/>
      <c r="C24" s="41"/>
      <c r="D24" s="41"/>
      <c r="E24" s="41"/>
      <c r="F24" s="41"/>
      <c r="G24" s="41"/>
      <c r="H24" s="41"/>
    </row>
    <row r="25" customHeight="1" spans="2:8">
      <c r="B25" s="41"/>
      <c r="C25" s="41"/>
      <c r="D25" s="41"/>
      <c r="E25" s="41"/>
      <c r="F25" s="41"/>
      <c r="G25" s="41"/>
      <c r="H25" s="41"/>
    </row>
    <row r="26" customHeight="1" spans="2:8">
      <c r="B26" s="41"/>
      <c r="C26" s="41"/>
      <c r="D26" s="41"/>
      <c r="E26" s="41"/>
      <c r="F26" s="41"/>
      <c r="G26" s="41"/>
      <c r="H26" s="41"/>
    </row>
    <row r="27" customHeight="1" spans="2:8">
      <c r="B27" s="41"/>
      <c r="C27" s="41"/>
      <c r="D27" s="41"/>
      <c r="E27" s="41"/>
      <c r="F27" s="41"/>
      <c r="G27" s="41"/>
      <c r="H27" s="41"/>
    </row>
    <row r="28" ht="78.6" customHeight="1" spans="2:8">
      <c r="B28" s="41"/>
      <c r="C28" s="41"/>
      <c r="D28" s="41"/>
      <c r="E28" s="41"/>
      <c r="F28" s="41"/>
      <c r="G28" s="41"/>
      <c r="H28" s="41"/>
    </row>
    <row r="29" customHeight="1" spans="3:6">
      <c r="C29" s="155" t="s">
        <v>438</v>
      </c>
      <c r="F29" s="155" t="s">
        <v>439</v>
      </c>
    </row>
  </sheetData>
  <mergeCells count="19">
    <mergeCell ref="B2:H2"/>
    <mergeCell ref="B5:C5"/>
    <mergeCell ref="B6:C6"/>
    <mergeCell ref="B7:C7"/>
    <mergeCell ref="B8:H8"/>
    <mergeCell ref="D9:F9"/>
    <mergeCell ref="D10:E10"/>
    <mergeCell ref="D11:E11"/>
    <mergeCell ref="D12:E12"/>
    <mergeCell ref="D13:E13"/>
    <mergeCell ref="D14:E14"/>
    <mergeCell ref="D15:E15"/>
    <mergeCell ref="D16:F16"/>
    <mergeCell ref="D17:F17"/>
    <mergeCell ref="B18:H18"/>
    <mergeCell ref="G9:G10"/>
    <mergeCell ref="H9:H10"/>
    <mergeCell ref="B19:H28"/>
    <mergeCell ref="B9:C10"/>
  </mergeCells>
  <dataValidations count="2">
    <dataValidation type="list" allowBlank="1" showInputMessage="1" showErrorMessage="1" sqref="D14">
      <formula1>安装调试费率参考指标!$C$5:$C$29</formula1>
    </dataValidation>
    <dataValidation type="list" allowBlank="1" showInputMessage="1" showErrorMessage="1" sqref="D15">
      <formula1>设备基础费参考!$G$38:$G$56</formula1>
    </dataValidation>
  </dataValidations>
  <pageMargins left="0.904166666666667" right="0.511805555555556" top="0.747916666666667" bottom="0.747916666666667" header="0.313888888888889" footer="0.313888888888889"/>
  <pageSetup paperSize="9" orientation="portrait" blackAndWhite="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B1:K37"/>
  <sheetViews>
    <sheetView showZeros="0" workbookViewId="0">
      <selection activeCell="K18" sqref="K18"/>
    </sheetView>
  </sheetViews>
  <sheetFormatPr defaultColWidth="8.875" defaultRowHeight="19.9" customHeight="1"/>
  <cols>
    <col min="1" max="1" width="8.875" style="86"/>
    <col min="2" max="2" width="3.5" style="86" customWidth="1"/>
    <col min="3" max="3" width="14.75" style="86" customWidth="1"/>
    <col min="4" max="4" width="14.375" style="86" customWidth="1"/>
    <col min="5" max="5" width="12.625" style="86" customWidth="1"/>
    <col min="6" max="6" width="13" style="86" customWidth="1"/>
    <col min="7" max="7" width="13.75" style="86" customWidth="1"/>
    <col min="8" max="8" width="16.5" style="86" customWidth="1"/>
    <col min="9" max="9" width="10.5" style="86" customWidth="1"/>
    <col min="10" max="16384" width="8.875" style="86"/>
  </cols>
  <sheetData>
    <row r="1" ht="9" customHeight="1"/>
    <row r="2" ht="31.15" customHeight="1" spans="2:8">
      <c r="B2" s="87" t="s">
        <v>440</v>
      </c>
      <c r="C2" s="88"/>
      <c r="D2" s="88"/>
      <c r="E2" s="88"/>
      <c r="F2" s="88"/>
      <c r="G2" s="88"/>
      <c r="H2" s="88"/>
    </row>
    <row r="3" customHeight="1" spans="5:5">
      <c r="E3" s="86" t="str">
        <f>设定!B4&amp;YEAR(设定!C4)&amp;"年"&amp;MONTH(设定!C4)&amp;"月"&amp;DAY(设定!C4)&amp;"日"</f>
        <v>评估基准日：2022年3月17日</v>
      </c>
    </row>
    <row r="4" customHeight="1" spans="2:8">
      <c r="B4" s="86" t="str">
        <f>设定!B3&amp;设定!C3</f>
        <v>被评估单位：江阴市金捷利制管有限公司</v>
      </c>
      <c r="H4" s="86" t="s">
        <v>407</v>
      </c>
    </row>
    <row r="5" customHeight="1" spans="2:8">
      <c r="B5" s="89" t="s">
        <v>408</v>
      </c>
      <c r="C5" s="90"/>
      <c r="D5" s="91">
        <f>机器设备及辅助设施评估明细表!A64</f>
        <v>58</v>
      </c>
      <c r="E5" s="92" t="s">
        <v>409</v>
      </c>
      <c r="F5" s="91" t="str">
        <f>机器设备及辅助设施评估明细表!B64</f>
        <v>监控</v>
      </c>
      <c r="G5" s="92" t="s">
        <v>410</v>
      </c>
      <c r="H5" s="91">
        <f>机器设备及辅助设施评估明细表!C64</f>
        <v>0</v>
      </c>
    </row>
    <row r="6" customHeight="1" spans="2:8">
      <c r="B6" s="89" t="s">
        <v>411</v>
      </c>
      <c r="C6" s="93"/>
      <c r="D6" s="91"/>
      <c r="E6" s="92" t="s">
        <v>412</v>
      </c>
      <c r="F6" s="91"/>
      <c r="G6" s="92" t="s">
        <v>413</v>
      </c>
      <c r="H6" s="94"/>
    </row>
    <row r="7" customHeight="1" spans="2:8">
      <c r="B7" s="89" t="s">
        <v>414</v>
      </c>
      <c r="C7" s="93"/>
      <c r="D7" s="95"/>
      <c r="E7" s="92" t="s">
        <v>415</v>
      </c>
      <c r="F7" s="95"/>
      <c r="G7" s="92" t="s">
        <v>416</v>
      </c>
      <c r="H7" s="94"/>
    </row>
    <row r="8" s="85" customFormat="1" customHeight="1" spans="2:8">
      <c r="B8" s="96" t="s">
        <v>441</v>
      </c>
      <c r="C8" s="97"/>
      <c r="D8" s="98" t="s">
        <v>442</v>
      </c>
      <c r="E8" s="99" t="s">
        <v>443</v>
      </c>
      <c r="F8" s="98" t="s">
        <v>444</v>
      </c>
      <c r="G8" s="96" t="s">
        <v>445</v>
      </c>
      <c r="H8" s="97"/>
    </row>
    <row r="9" ht="25.15" customHeight="1" spans="2:8">
      <c r="B9" s="99">
        <v>1</v>
      </c>
      <c r="C9" s="100" t="s">
        <v>446</v>
      </c>
      <c r="D9" s="101"/>
      <c r="E9" s="92"/>
      <c r="F9" s="102">
        <f>机器设备及辅助设施评估明细表!H64</f>
        <v>8000</v>
      </c>
      <c r="G9" s="103"/>
      <c r="H9" s="104"/>
    </row>
    <row r="10" ht="25.15" customHeight="1" spans="2:9">
      <c r="B10" s="99">
        <v>2</v>
      </c>
      <c r="C10" s="100" t="s">
        <v>447</v>
      </c>
      <c r="D10" s="105"/>
      <c r="E10" s="99" t="s">
        <v>448</v>
      </c>
      <c r="F10" s="106">
        <f>ROUND($F$9*D10,0)</f>
        <v>0</v>
      </c>
      <c r="G10" s="103"/>
      <c r="H10" s="104"/>
      <c r="I10" s="105">
        <v>0.01</v>
      </c>
    </row>
    <row r="11" ht="25.15" customHeight="1" spans="2:9">
      <c r="B11" s="99">
        <v>3</v>
      </c>
      <c r="C11" s="100" t="s">
        <v>449</v>
      </c>
      <c r="D11" s="105"/>
      <c r="E11" s="99" t="s">
        <v>448</v>
      </c>
      <c r="F11" s="106">
        <f t="shared" ref="F11:F12" si="0">ROUND($F$9*D11,0)</f>
        <v>0</v>
      </c>
      <c r="G11" s="103"/>
      <c r="H11" s="104"/>
      <c r="I11" s="105">
        <v>0.05</v>
      </c>
    </row>
    <row r="12" ht="25.15" customHeight="1" spans="2:9">
      <c r="B12" s="99">
        <v>4</v>
      </c>
      <c r="C12" s="100" t="s">
        <v>450</v>
      </c>
      <c r="D12" s="105"/>
      <c r="E12" s="99" t="s">
        <v>448</v>
      </c>
      <c r="F12" s="106">
        <f t="shared" si="0"/>
        <v>0</v>
      </c>
      <c r="G12" s="103"/>
      <c r="H12" s="104"/>
      <c r="I12" s="105">
        <v>0.1</v>
      </c>
    </row>
    <row r="13" ht="25.15" customHeight="1" spans="2:9">
      <c r="B13" s="99">
        <v>5</v>
      </c>
      <c r="C13" s="100" t="s">
        <v>451</v>
      </c>
      <c r="D13" s="107"/>
      <c r="E13" s="99" t="s">
        <v>452</v>
      </c>
      <c r="F13" s="106">
        <f>F9+F10+F11+F12</f>
        <v>8000</v>
      </c>
      <c r="G13" s="103"/>
      <c r="H13" s="104"/>
      <c r="I13" s="107"/>
    </row>
    <row r="14" ht="25.15" customHeight="1" spans="2:9">
      <c r="B14" s="99">
        <v>6</v>
      </c>
      <c r="C14" s="108" t="s">
        <v>453</v>
      </c>
      <c r="D14" s="105"/>
      <c r="E14" s="99" t="s">
        <v>454</v>
      </c>
      <c r="F14" s="106">
        <f>ROUND(F13*D14,0)</f>
        <v>0</v>
      </c>
      <c r="G14" s="103"/>
      <c r="H14" s="104"/>
      <c r="I14" s="105">
        <v>0.01</v>
      </c>
    </row>
    <row r="15" ht="25.15" customHeight="1" spans="2:9">
      <c r="B15" s="99">
        <v>7</v>
      </c>
      <c r="C15" s="100" t="s">
        <v>455</v>
      </c>
      <c r="D15" s="105"/>
      <c r="E15" s="109" t="s">
        <v>456</v>
      </c>
      <c r="F15" s="106">
        <f>ROUND((F13+F14)*D15*1/2,0)</f>
        <v>0</v>
      </c>
      <c r="G15" s="110" t="s">
        <v>457</v>
      </c>
      <c r="H15" s="111"/>
      <c r="I15" s="105">
        <v>0.0435</v>
      </c>
    </row>
    <row r="16" ht="25.15" customHeight="1" spans="2:8">
      <c r="B16" s="89" t="s">
        <v>458</v>
      </c>
      <c r="C16" s="90"/>
      <c r="D16" s="96" t="s">
        <v>459</v>
      </c>
      <c r="E16" s="97"/>
      <c r="F16" s="101">
        <f>F13+F14+F15</f>
        <v>8000</v>
      </c>
      <c r="G16" s="112"/>
      <c r="H16" s="113"/>
    </row>
    <row r="17" customHeight="1" spans="2:9">
      <c r="B17" s="114" t="s">
        <v>460</v>
      </c>
      <c r="C17" s="115"/>
      <c r="D17" s="102">
        <f>机器设备及辅助设施评估明细表!AD64</f>
        <v>0</v>
      </c>
      <c r="E17" s="92" t="s">
        <v>461</v>
      </c>
      <c r="F17" s="102">
        <f>机器设备及辅助设施评估明细表!AE64</f>
        <v>0</v>
      </c>
      <c r="G17" s="92" t="s">
        <v>462</v>
      </c>
      <c r="H17" s="116">
        <f>IF((D17-F17)&lt;2,2,(D17-F17))</f>
        <v>2</v>
      </c>
      <c r="I17" s="138">
        <f>设定!C4</f>
        <v>44637</v>
      </c>
    </row>
    <row r="18" customHeight="1" spans="2:9">
      <c r="B18" s="99" t="s">
        <v>463</v>
      </c>
      <c r="C18" s="117"/>
      <c r="D18" s="99" t="s">
        <v>387</v>
      </c>
      <c r="E18" s="99" t="s">
        <v>464</v>
      </c>
      <c r="F18" s="118" t="s">
        <v>249</v>
      </c>
      <c r="G18" s="99" t="s">
        <v>465</v>
      </c>
      <c r="H18" s="99" t="s">
        <v>8</v>
      </c>
      <c r="I18" s="86">
        <f>ROUND((I17-H6)/365,2)</f>
        <v>122.29</v>
      </c>
    </row>
    <row r="19" ht="15" customHeight="1" spans="2:8">
      <c r="B19" s="99" t="s">
        <v>466</v>
      </c>
      <c r="C19" s="117"/>
      <c r="D19" s="99" t="s">
        <v>467</v>
      </c>
      <c r="E19" s="99">
        <v>20</v>
      </c>
      <c r="F19" s="41"/>
      <c r="G19" s="41">
        <f>IF(F19="",0,VLOOKUP(F19,$D$19:$E$22,2,0))</f>
        <v>0</v>
      </c>
      <c r="H19" s="41"/>
    </row>
    <row r="20" ht="15" customHeight="1" spans="2:8">
      <c r="B20" s="117"/>
      <c r="C20" s="117"/>
      <c r="D20" s="99" t="s">
        <v>402</v>
      </c>
      <c r="E20" s="99">
        <v>16</v>
      </c>
      <c r="F20" s="41"/>
      <c r="G20" s="41"/>
      <c r="H20" s="41"/>
    </row>
    <row r="21" ht="15" customHeight="1" spans="2:8">
      <c r="B21" s="117"/>
      <c r="C21" s="117"/>
      <c r="D21" s="99" t="s">
        <v>275</v>
      </c>
      <c r="E21" s="99">
        <v>12</v>
      </c>
      <c r="F21" s="41"/>
      <c r="G21" s="41"/>
      <c r="H21" s="41"/>
    </row>
    <row r="22" ht="15" customHeight="1" spans="2:8">
      <c r="B22" s="117"/>
      <c r="C22" s="117"/>
      <c r="D22" s="99" t="s">
        <v>468</v>
      </c>
      <c r="E22" s="99">
        <v>5</v>
      </c>
      <c r="F22" s="41"/>
      <c r="G22" s="41"/>
      <c r="H22" s="41"/>
    </row>
    <row r="23" ht="15" customHeight="1" spans="2:8">
      <c r="B23" s="119" t="s">
        <v>469</v>
      </c>
      <c r="C23" s="120"/>
      <c r="D23" s="99" t="s">
        <v>467</v>
      </c>
      <c r="E23" s="99">
        <v>50</v>
      </c>
      <c r="F23" s="121"/>
      <c r="G23" s="121">
        <f>IF(F23="",0,VLOOKUP(F23,$D$23:$E$27,2,0))</f>
        <v>0</v>
      </c>
      <c r="H23" s="121"/>
    </row>
    <row r="24" ht="15" customHeight="1" spans="2:8">
      <c r="B24" s="122"/>
      <c r="C24" s="123"/>
      <c r="D24" s="99" t="s">
        <v>403</v>
      </c>
      <c r="E24" s="99">
        <v>40</v>
      </c>
      <c r="F24" s="124"/>
      <c r="G24" s="124"/>
      <c r="H24" s="124"/>
    </row>
    <row r="25" ht="15" customHeight="1" spans="2:8">
      <c r="B25" s="122"/>
      <c r="C25" s="123"/>
      <c r="D25" s="99" t="s">
        <v>275</v>
      </c>
      <c r="E25" s="99">
        <v>30</v>
      </c>
      <c r="F25" s="124"/>
      <c r="G25" s="124"/>
      <c r="H25" s="124"/>
    </row>
    <row r="26" ht="15" customHeight="1" spans="2:8">
      <c r="B26" s="122"/>
      <c r="C26" s="123"/>
      <c r="D26" s="99" t="s">
        <v>400</v>
      </c>
      <c r="E26" s="99">
        <v>20</v>
      </c>
      <c r="F26" s="124"/>
      <c r="G26" s="124"/>
      <c r="H26" s="124"/>
    </row>
    <row r="27" ht="15" customHeight="1" spans="2:8">
      <c r="B27" s="125"/>
      <c r="C27" s="126"/>
      <c r="D27" s="99" t="s">
        <v>470</v>
      </c>
      <c r="E27" s="99">
        <v>10</v>
      </c>
      <c r="F27" s="127"/>
      <c r="G27" s="127"/>
      <c r="H27" s="127"/>
    </row>
    <row r="28" ht="15" customHeight="1" spans="2:8">
      <c r="B28" s="119" t="s">
        <v>471</v>
      </c>
      <c r="C28" s="120"/>
      <c r="D28" s="99" t="s">
        <v>467</v>
      </c>
      <c r="E28" s="99">
        <v>30</v>
      </c>
      <c r="F28" s="121"/>
      <c r="G28" s="121">
        <f>IF(F28="",0,VLOOKUP(F28,$D$28:$E$31,2,0))</f>
        <v>0</v>
      </c>
      <c r="H28" s="121"/>
    </row>
    <row r="29" ht="15" customHeight="1" spans="2:8">
      <c r="B29" s="122"/>
      <c r="C29" s="123"/>
      <c r="D29" s="99" t="s">
        <v>402</v>
      </c>
      <c r="E29" s="99">
        <v>24</v>
      </c>
      <c r="F29" s="124"/>
      <c r="G29" s="124"/>
      <c r="H29" s="124"/>
    </row>
    <row r="30" ht="15" customHeight="1" spans="2:8">
      <c r="B30" s="122"/>
      <c r="C30" s="123"/>
      <c r="D30" s="99" t="s">
        <v>275</v>
      </c>
      <c r="E30" s="99">
        <v>18</v>
      </c>
      <c r="F30" s="124"/>
      <c r="G30" s="124"/>
      <c r="H30" s="124"/>
    </row>
    <row r="31" ht="15" customHeight="1" spans="2:8">
      <c r="B31" s="125"/>
      <c r="C31" s="126"/>
      <c r="D31" s="99" t="s">
        <v>468</v>
      </c>
      <c r="E31" s="99">
        <v>6</v>
      </c>
      <c r="F31" s="127"/>
      <c r="G31" s="127"/>
      <c r="H31" s="127"/>
    </row>
    <row r="32" customHeight="1" spans="2:8">
      <c r="B32" s="96" t="s">
        <v>472</v>
      </c>
      <c r="C32" s="128"/>
      <c r="D32" s="97"/>
      <c r="E32" s="99">
        <v>100</v>
      </c>
      <c r="F32" s="92"/>
      <c r="G32" s="99">
        <f>SUM(G19:G31)</f>
        <v>0</v>
      </c>
      <c r="H32" s="129"/>
    </row>
    <row r="33" ht="23.1" customHeight="1" spans="2:8">
      <c r="B33" s="114" t="s">
        <v>473</v>
      </c>
      <c r="C33" s="115"/>
      <c r="D33" s="130">
        <f>ROUND(H17/(F17+H17),2)</f>
        <v>1</v>
      </c>
      <c r="E33" s="131"/>
      <c r="F33" s="132" t="s">
        <v>474</v>
      </c>
      <c r="G33" s="90"/>
      <c r="H33" s="133">
        <f>ROUND(G32/100,2)</f>
        <v>0</v>
      </c>
    </row>
    <row r="34" ht="23.1" customHeight="1" spans="2:11">
      <c r="B34" s="89" t="s">
        <v>475</v>
      </c>
      <c r="C34" s="90"/>
      <c r="D34" s="96" t="str">
        <f>IF(K34="是","采用年限法成新率作为综合成新率","综合成新率＝年限法成新率×40％＋观察法成新率×60％＝")</f>
        <v>采用年限法成新率作为综合成新率</v>
      </c>
      <c r="E34" s="128"/>
      <c r="F34" s="128"/>
      <c r="G34" s="97"/>
      <c r="H34" s="133">
        <f>IF(K34="是",D33,ROUND(D33*0.4+H33*0.4,2))</f>
        <v>1</v>
      </c>
      <c r="I34" s="139" t="s">
        <v>476</v>
      </c>
      <c r="J34" s="140"/>
      <c r="K34" s="141" t="s">
        <v>355</v>
      </c>
    </row>
    <row r="35" ht="23.1" customHeight="1" spans="2:8">
      <c r="B35" s="132" t="s">
        <v>477</v>
      </c>
      <c r="C35" s="90"/>
      <c r="D35" s="134" t="s">
        <v>478</v>
      </c>
      <c r="E35" s="135"/>
      <c r="F35" s="132" t="s">
        <v>384</v>
      </c>
      <c r="G35" s="90"/>
      <c r="H35" s="133">
        <f>IF(D35="",0,VLOOKUP(D35,残值率参考表!$C$4:$D$23,2,0))</f>
        <v>0</v>
      </c>
    </row>
    <row r="36" ht="23.1" customHeight="1" spans="2:8">
      <c r="B36" s="132" t="s">
        <v>435</v>
      </c>
      <c r="C36" s="136"/>
      <c r="D36" s="96" t="s">
        <v>479</v>
      </c>
      <c r="E36" s="128"/>
      <c r="F36" s="128"/>
      <c r="G36" s="97"/>
      <c r="H36" s="137">
        <f>ROUND(F16*(H34-H35),0)</f>
        <v>8000</v>
      </c>
    </row>
    <row r="37" customHeight="1" spans="3:6">
      <c r="C37" s="86" t="s">
        <v>438</v>
      </c>
      <c r="D37" s="86" t="s">
        <v>480</v>
      </c>
      <c r="F37" s="86" t="s">
        <v>439</v>
      </c>
    </row>
  </sheetData>
  <mergeCells count="41">
    <mergeCell ref="B2:H2"/>
    <mergeCell ref="B5:C5"/>
    <mergeCell ref="B6:C6"/>
    <mergeCell ref="B7:C7"/>
    <mergeCell ref="B8:C8"/>
    <mergeCell ref="G8:H8"/>
    <mergeCell ref="G9:H9"/>
    <mergeCell ref="G10:H10"/>
    <mergeCell ref="G11:H11"/>
    <mergeCell ref="G12:H12"/>
    <mergeCell ref="G13:H13"/>
    <mergeCell ref="G14:H14"/>
    <mergeCell ref="G15:H15"/>
    <mergeCell ref="B16:C16"/>
    <mergeCell ref="D16:E16"/>
    <mergeCell ref="G16:H16"/>
    <mergeCell ref="B17:C17"/>
    <mergeCell ref="B18:C18"/>
    <mergeCell ref="B32:D32"/>
    <mergeCell ref="B33:C33"/>
    <mergeCell ref="D33:E33"/>
    <mergeCell ref="F33:G33"/>
    <mergeCell ref="B34:C34"/>
    <mergeCell ref="D34:G34"/>
    <mergeCell ref="B35:C35"/>
    <mergeCell ref="D35:E35"/>
    <mergeCell ref="F35:G35"/>
    <mergeCell ref="B36:C36"/>
    <mergeCell ref="D36:G36"/>
    <mergeCell ref="F19:F22"/>
    <mergeCell ref="F23:F27"/>
    <mergeCell ref="F28:F31"/>
    <mergeCell ref="G19:G22"/>
    <mergeCell ref="G23:G27"/>
    <mergeCell ref="G28:G31"/>
    <mergeCell ref="H19:H22"/>
    <mergeCell ref="H23:H27"/>
    <mergeCell ref="H28:H31"/>
    <mergeCell ref="B19:C22"/>
    <mergeCell ref="B23:C27"/>
    <mergeCell ref="B28:C31"/>
  </mergeCells>
  <dataValidations count="5">
    <dataValidation type="list" allowBlank="1" showInputMessage="1" showErrorMessage="1" sqref="D35:E35">
      <formula1>残值率参考表!$C$4:$C$23</formula1>
    </dataValidation>
    <dataValidation type="list" allowBlank="1" showInputMessage="1" showErrorMessage="1" sqref="K34">
      <formula1>"是,否"</formula1>
    </dataValidation>
    <dataValidation type="list" allowBlank="1" showInputMessage="1" showErrorMessage="1" sqref="F28:F31">
      <formula1>$D$28:$D$31</formula1>
    </dataValidation>
    <dataValidation type="list" allowBlank="1" showInputMessage="1" showErrorMessage="1" sqref="F19:F22">
      <formula1>$D$19:$D$22</formula1>
    </dataValidation>
    <dataValidation type="list" allowBlank="1" showInputMessage="1" showErrorMessage="1" sqref="F23:F27">
      <formula1>$D$23:$D$27</formula1>
    </dataValidation>
  </dataValidations>
  <pageMargins left="0.904166666666667" right="0.511805555555556" top="0.747916666666667" bottom="0.747916666666667" header="0.313888888888889" footer="0.313888888888889"/>
  <pageSetup paperSize="9" orientation="portrait" blackAndWhite="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2"/>
  <sheetViews>
    <sheetView workbookViewId="0">
      <selection activeCell="H3" sqref="H3"/>
    </sheetView>
  </sheetViews>
  <sheetFormatPr defaultColWidth="9" defaultRowHeight="13.5"/>
  <cols>
    <col min="1" max="1" width="3.5" customWidth="1"/>
    <col min="2" max="2" width="5.5" customWidth="1"/>
    <col min="3" max="3" width="18.375" customWidth="1"/>
    <col min="4" max="4" width="49" customWidth="1"/>
    <col min="5" max="5" width="13" customWidth="1"/>
    <col min="6" max="6" width="6.25" customWidth="1"/>
    <col min="7" max="10" width="16.75" customWidth="1"/>
  </cols>
  <sheetData>
    <row r="1" ht="14.25" spans="7:7">
      <c r="G1" t="s">
        <v>481</v>
      </c>
    </row>
    <row r="2" ht="15" spans="2:10">
      <c r="B2" s="52" t="s">
        <v>317</v>
      </c>
      <c r="C2" s="53" t="s">
        <v>482</v>
      </c>
      <c r="D2" s="53" t="s">
        <v>483</v>
      </c>
      <c r="E2" s="53" t="s">
        <v>484</v>
      </c>
      <c r="G2" s="54" t="s">
        <v>463</v>
      </c>
      <c r="H2" s="55" t="s">
        <v>387</v>
      </c>
      <c r="I2" s="55" t="s">
        <v>464</v>
      </c>
      <c r="J2" s="82" t="s">
        <v>465</v>
      </c>
    </row>
    <row r="3" ht="15" spans="2:10">
      <c r="B3" s="56"/>
      <c r="C3" s="57" t="s">
        <v>485</v>
      </c>
      <c r="D3" s="58" t="s">
        <v>486</v>
      </c>
      <c r="E3" s="57" t="s">
        <v>487</v>
      </c>
      <c r="G3" s="59" t="s">
        <v>488</v>
      </c>
      <c r="H3" s="60" t="s">
        <v>467</v>
      </c>
      <c r="I3" s="60">
        <v>20</v>
      </c>
      <c r="J3" s="83"/>
    </row>
    <row r="4" ht="15" spans="2:10">
      <c r="B4" s="56" t="s">
        <v>489</v>
      </c>
      <c r="C4" s="57" t="s">
        <v>490</v>
      </c>
      <c r="D4" s="61"/>
      <c r="E4" s="57" t="s">
        <v>491</v>
      </c>
      <c r="G4" s="62"/>
      <c r="H4" s="60" t="s">
        <v>402</v>
      </c>
      <c r="I4" s="60">
        <v>16</v>
      </c>
      <c r="J4" s="84"/>
    </row>
    <row r="5" ht="15" spans="2:10">
      <c r="B5" s="63"/>
      <c r="C5" s="64" t="s">
        <v>485</v>
      </c>
      <c r="D5" s="65"/>
      <c r="E5" s="64" t="s">
        <v>487</v>
      </c>
      <c r="G5" s="62"/>
      <c r="H5" s="60" t="s">
        <v>275</v>
      </c>
      <c r="I5" s="60">
        <v>12</v>
      </c>
      <c r="J5" s="84"/>
    </row>
    <row r="6" ht="15" spans="2:10">
      <c r="B6" s="56"/>
      <c r="C6" s="57" t="s">
        <v>485</v>
      </c>
      <c r="D6" s="58" t="s">
        <v>492</v>
      </c>
      <c r="E6" s="57" t="s">
        <v>487</v>
      </c>
      <c r="G6" s="66"/>
      <c r="H6" s="60" t="s">
        <v>468</v>
      </c>
      <c r="I6" s="60">
        <v>5</v>
      </c>
      <c r="J6" s="73"/>
    </row>
    <row r="7" ht="15" spans="2:10">
      <c r="B7" s="56" t="s">
        <v>493</v>
      </c>
      <c r="C7" s="57" t="s">
        <v>494</v>
      </c>
      <c r="D7" s="61"/>
      <c r="E7" s="57" t="s">
        <v>495</v>
      </c>
      <c r="G7" s="59" t="s">
        <v>496</v>
      </c>
      <c r="H7" s="60" t="s">
        <v>467</v>
      </c>
      <c r="I7" s="60">
        <v>50</v>
      </c>
      <c r="J7" s="83"/>
    </row>
    <row r="8" ht="15" spans="2:10">
      <c r="B8" s="63"/>
      <c r="C8" s="64" t="s">
        <v>485</v>
      </c>
      <c r="D8" s="65"/>
      <c r="E8" s="64" t="s">
        <v>487</v>
      </c>
      <c r="G8" s="62"/>
      <c r="H8" s="60" t="s">
        <v>403</v>
      </c>
      <c r="I8" s="60">
        <v>40</v>
      </c>
      <c r="J8" s="84"/>
    </row>
    <row r="9" ht="15" spans="2:10">
      <c r="B9" s="56"/>
      <c r="C9" s="57" t="s">
        <v>485</v>
      </c>
      <c r="D9" s="58" t="s">
        <v>497</v>
      </c>
      <c r="E9" s="57" t="s">
        <v>487</v>
      </c>
      <c r="G9" s="62"/>
      <c r="H9" s="60" t="s">
        <v>275</v>
      </c>
      <c r="I9" s="60">
        <v>30</v>
      </c>
      <c r="J9" s="84"/>
    </row>
    <row r="10" ht="15" spans="2:10">
      <c r="B10" s="56" t="s">
        <v>498</v>
      </c>
      <c r="C10" s="67" t="s">
        <v>499</v>
      </c>
      <c r="D10" s="61"/>
      <c r="E10" s="57" t="s">
        <v>500</v>
      </c>
      <c r="G10" s="62"/>
      <c r="H10" s="60" t="s">
        <v>400</v>
      </c>
      <c r="I10" s="60">
        <v>20</v>
      </c>
      <c r="J10" s="84"/>
    </row>
    <row r="11" ht="15" spans="2:10">
      <c r="B11" s="63"/>
      <c r="C11" s="64" t="s">
        <v>485</v>
      </c>
      <c r="D11" s="65"/>
      <c r="E11" s="64" t="s">
        <v>487</v>
      </c>
      <c r="G11" s="66"/>
      <c r="H11" s="60" t="s">
        <v>470</v>
      </c>
      <c r="I11" s="60">
        <v>10</v>
      </c>
      <c r="J11" s="73"/>
    </row>
    <row r="12" ht="15" spans="2:10">
      <c r="B12" s="68" t="s">
        <v>501</v>
      </c>
      <c r="C12" s="69"/>
      <c r="D12" s="58" t="s">
        <v>502</v>
      </c>
      <c r="E12" s="69"/>
      <c r="G12" s="59" t="s">
        <v>471</v>
      </c>
      <c r="H12" s="60" t="s">
        <v>467</v>
      </c>
      <c r="I12" s="60">
        <v>30</v>
      </c>
      <c r="J12" s="83"/>
    </row>
    <row r="13" ht="15" spans="2:10">
      <c r="B13" s="56"/>
      <c r="C13" s="67" t="s">
        <v>503</v>
      </c>
      <c r="D13" s="61"/>
      <c r="E13" s="69" t="s">
        <v>504</v>
      </c>
      <c r="G13" s="62"/>
      <c r="H13" s="60" t="s">
        <v>402</v>
      </c>
      <c r="I13" s="60">
        <v>24</v>
      </c>
      <c r="J13" s="84"/>
    </row>
    <row r="14" ht="15" spans="2:10">
      <c r="B14" s="70"/>
      <c r="C14" s="71"/>
      <c r="D14" s="65"/>
      <c r="E14" s="72"/>
      <c r="G14" s="62"/>
      <c r="H14" s="60" t="s">
        <v>275</v>
      </c>
      <c r="I14" s="60">
        <v>18</v>
      </c>
      <c r="J14" s="84"/>
    </row>
    <row r="15" ht="15" spans="2:10">
      <c r="B15" s="56"/>
      <c r="C15" s="57" t="s">
        <v>485</v>
      </c>
      <c r="D15" s="58" t="s">
        <v>505</v>
      </c>
      <c r="E15" s="57" t="s">
        <v>487</v>
      </c>
      <c r="G15" s="66"/>
      <c r="H15" s="60" t="s">
        <v>468</v>
      </c>
      <c r="I15" s="60">
        <v>6</v>
      </c>
      <c r="J15" s="73"/>
    </row>
    <row r="16" ht="15" spans="2:10">
      <c r="B16" s="56" t="s">
        <v>506</v>
      </c>
      <c r="C16" s="67" t="s">
        <v>507</v>
      </c>
      <c r="D16" s="61"/>
      <c r="E16" s="57" t="s">
        <v>508</v>
      </c>
      <c r="G16" s="73" t="s">
        <v>472</v>
      </c>
      <c r="H16" s="60"/>
      <c r="I16" s="60">
        <v>100</v>
      </c>
      <c r="J16" s="60"/>
    </row>
    <row r="17" ht="15" spans="2:5">
      <c r="B17" s="63"/>
      <c r="C17" s="64" t="s">
        <v>485</v>
      </c>
      <c r="D17" s="65"/>
      <c r="E17" s="64" t="s">
        <v>487</v>
      </c>
    </row>
    <row r="18" ht="14.25" spans="2:5">
      <c r="B18" s="74" t="s">
        <v>509</v>
      </c>
      <c r="C18" s="75" t="s">
        <v>510</v>
      </c>
      <c r="D18" s="76"/>
      <c r="E18" s="77"/>
    </row>
    <row r="19" ht="14.25" spans="2:5">
      <c r="B19" s="74" t="s">
        <v>511</v>
      </c>
      <c r="C19" s="78" t="s">
        <v>512</v>
      </c>
      <c r="D19" s="79"/>
      <c r="E19" s="57"/>
    </row>
    <row r="20" ht="14.25" spans="2:5">
      <c r="B20" s="74" t="s">
        <v>513</v>
      </c>
      <c r="C20" s="78" t="s">
        <v>514</v>
      </c>
      <c r="D20" s="79"/>
      <c r="E20" s="57"/>
    </row>
    <row r="21" ht="14.25" spans="2:5">
      <c r="B21" s="74" t="s">
        <v>515</v>
      </c>
      <c r="C21" s="78" t="s">
        <v>516</v>
      </c>
      <c r="D21" s="79"/>
      <c r="E21" s="57"/>
    </row>
    <row r="22" ht="15" spans="2:5">
      <c r="B22" s="63"/>
      <c r="C22" s="80" t="s">
        <v>517</v>
      </c>
      <c r="D22" s="81"/>
      <c r="E22" s="64"/>
    </row>
  </sheetData>
  <mergeCells count="17">
    <mergeCell ref="C18:E18"/>
    <mergeCell ref="C19:E19"/>
    <mergeCell ref="C20:E20"/>
    <mergeCell ref="C21:E21"/>
    <mergeCell ref="C22:E22"/>
    <mergeCell ref="B12:B14"/>
    <mergeCell ref="D3:D5"/>
    <mergeCell ref="D6:D8"/>
    <mergeCell ref="D9:D11"/>
    <mergeCell ref="D12:D14"/>
    <mergeCell ref="D15:D17"/>
    <mergeCell ref="G3:G6"/>
    <mergeCell ref="G7:G11"/>
    <mergeCell ref="G12:G15"/>
    <mergeCell ref="J3:J6"/>
    <mergeCell ref="J7:J11"/>
    <mergeCell ref="J12:J15"/>
  </mergeCell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55"/>
  <sheetViews>
    <sheetView workbookViewId="0">
      <selection activeCell="B26" sqref="B26"/>
    </sheetView>
  </sheetViews>
  <sheetFormatPr defaultColWidth="9" defaultRowHeight="13.5" outlineLevelCol="3"/>
  <cols>
    <col min="2" max="2" width="15" customWidth="1"/>
    <col min="3" max="3" width="27.625" customWidth="1"/>
    <col min="4" max="4" width="21.625" customWidth="1"/>
  </cols>
  <sheetData>
    <row r="2" ht="18" spans="2:4">
      <c r="B2" s="34" t="s">
        <v>518</v>
      </c>
      <c r="C2" s="34"/>
      <c r="D2" s="34"/>
    </row>
    <row r="3" ht="14.45" customHeight="1" spans="2:4">
      <c r="B3" s="36" t="s">
        <v>519</v>
      </c>
      <c r="C3" s="36"/>
      <c r="D3" s="37" t="s">
        <v>520</v>
      </c>
    </row>
    <row r="4" ht="14.25" spans="2:4">
      <c r="B4" s="16" t="s">
        <v>20</v>
      </c>
      <c r="C4" s="16" t="s">
        <v>521</v>
      </c>
      <c r="D4" s="16" t="s">
        <v>522</v>
      </c>
    </row>
    <row r="5" ht="14.25" spans="2:4">
      <c r="B5" s="38">
        <v>1</v>
      </c>
      <c r="C5" s="18" t="s">
        <v>523</v>
      </c>
      <c r="D5" s="39" t="s">
        <v>524</v>
      </c>
    </row>
    <row r="6" ht="14.25" spans="2:4">
      <c r="B6" s="38">
        <v>2</v>
      </c>
      <c r="C6" s="18" t="s">
        <v>525</v>
      </c>
      <c r="D6" s="39" t="s">
        <v>526</v>
      </c>
    </row>
    <row r="7" ht="14.25" spans="2:4">
      <c r="B7" s="38">
        <v>3</v>
      </c>
      <c r="C7" s="18" t="s">
        <v>527</v>
      </c>
      <c r="D7" s="39" t="s">
        <v>528</v>
      </c>
    </row>
    <row r="8" ht="14.25" spans="2:4">
      <c r="B8" s="38">
        <v>4</v>
      </c>
      <c r="C8" s="18" t="s">
        <v>529</v>
      </c>
      <c r="D8" s="39" t="s">
        <v>530</v>
      </c>
    </row>
    <row r="9" ht="14.25" spans="2:4">
      <c r="B9" s="38">
        <v>5</v>
      </c>
      <c r="C9" s="18" t="s">
        <v>531</v>
      </c>
      <c r="D9" s="39" t="s">
        <v>526</v>
      </c>
    </row>
    <row r="10" ht="14.25" spans="2:4">
      <c r="B10" s="38">
        <v>6</v>
      </c>
      <c r="C10" s="18" t="s">
        <v>532</v>
      </c>
      <c r="D10" s="39" t="s">
        <v>524</v>
      </c>
    </row>
    <row r="11" ht="14.25" spans="2:4">
      <c r="B11" s="38">
        <v>7</v>
      </c>
      <c r="C11" s="18" t="s">
        <v>533</v>
      </c>
      <c r="D11" s="39" t="s">
        <v>534</v>
      </c>
    </row>
    <row r="12" ht="14.25" spans="2:4">
      <c r="B12" s="38">
        <v>8</v>
      </c>
      <c r="C12" s="18" t="s">
        <v>535</v>
      </c>
      <c r="D12" s="39" t="s">
        <v>536</v>
      </c>
    </row>
    <row r="13" ht="14.25" spans="2:4">
      <c r="B13" s="38">
        <v>9</v>
      </c>
      <c r="C13" s="18" t="s">
        <v>537</v>
      </c>
      <c r="D13" s="39" t="s">
        <v>538</v>
      </c>
    </row>
    <row r="14" ht="14.25" spans="2:4">
      <c r="B14" s="38">
        <v>10</v>
      </c>
      <c r="C14" s="18" t="s">
        <v>539</v>
      </c>
      <c r="D14" s="39" t="s">
        <v>540</v>
      </c>
    </row>
    <row r="15" ht="14.25" spans="2:4">
      <c r="B15" s="38">
        <v>11</v>
      </c>
      <c r="C15" s="18" t="s">
        <v>541</v>
      </c>
      <c r="D15" s="39" t="s">
        <v>542</v>
      </c>
    </row>
    <row r="16" ht="14.25" spans="2:4">
      <c r="B16" s="38">
        <v>12</v>
      </c>
      <c r="C16" s="18" t="s">
        <v>543</v>
      </c>
      <c r="D16" s="39" t="s">
        <v>544</v>
      </c>
    </row>
    <row r="17" ht="14.25" spans="2:4">
      <c r="B17" s="38">
        <v>13</v>
      </c>
      <c r="C17" s="18" t="s">
        <v>545</v>
      </c>
      <c r="D17" s="39" t="s">
        <v>546</v>
      </c>
    </row>
    <row r="18" ht="14.25" spans="2:4">
      <c r="B18" s="38">
        <v>14</v>
      </c>
      <c r="C18" s="18" t="s">
        <v>547</v>
      </c>
      <c r="D18" s="39" t="s">
        <v>546</v>
      </c>
    </row>
    <row r="19" ht="14.25" spans="2:4">
      <c r="B19" s="38">
        <v>15</v>
      </c>
      <c r="C19" s="18" t="s">
        <v>548</v>
      </c>
      <c r="D19" s="39" t="s">
        <v>549</v>
      </c>
    </row>
    <row r="20" ht="14.25" spans="2:4">
      <c r="B20" s="38">
        <v>16</v>
      </c>
      <c r="C20" s="18" t="s">
        <v>550</v>
      </c>
      <c r="D20" s="39" t="s">
        <v>551</v>
      </c>
    </row>
    <row r="21" ht="14.25" spans="2:4">
      <c r="B21" s="38">
        <v>17</v>
      </c>
      <c r="C21" s="18" t="s">
        <v>552</v>
      </c>
      <c r="D21" s="39" t="s">
        <v>553</v>
      </c>
    </row>
    <row r="22" ht="14.25" spans="2:4">
      <c r="B22" s="38">
        <v>18</v>
      </c>
      <c r="C22" s="18" t="s">
        <v>554</v>
      </c>
      <c r="D22" s="39" t="s">
        <v>555</v>
      </c>
    </row>
    <row r="23" ht="14.25" spans="2:4">
      <c r="B23" s="38">
        <v>19</v>
      </c>
      <c r="C23" s="18" t="s">
        <v>556</v>
      </c>
      <c r="D23" s="39" t="s">
        <v>557</v>
      </c>
    </row>
    <row r="24" ht="14.25" spans="2:4">
      <c r="B24" s="38">
        <v>20</v>
      </c>
      <c r="C24" s="18" t="s">
        <v>558</v>
      </c>
      <c r="D24" s="39" t="s">
        <v>559</v>
      </c>
    </row>
    <row r="25" ht="14.25" spans="2:4">
      <c r="B25" s="38">
        <v>21</v>
      </c>
      <c r="C25" s="18" t="s">
        <v>560</v>
      </c>
      <c r="D25" s="39" t="s">
        <v>561</v>
      </c>
    </row>
    <row r="26" ht="14.25" spans="2:4">
      <c r="B26" s="38">
        <v>22</v>
      </c>
      <c r="C26" s="18" t="s">
        <v>562</v>
      </c>
      <c r="D26" s="39" t="s">
        <v>563</v>
      </c>
    </row>
    <row r="27" ht="14.25" spans="2:4">
      <c r="B27" s="38">
        <v>23</v>
      </c>
      <c r="C27" s="18" t="s">
        <v>564</v>
      </c>
      <c r="D27" s="39" t="s">
        <v>565</v>
      </c>
    </row>
    <row r="28" ht="14.25" spans="2:4">
      <c r="B28" s="38">
        <v>24</v>
      </c>
      <c r="C28" s="18" t="s">
        <v>566</v>
      </c>
      <c r="D28" s="39" t="s">
        <v>567</v>
      </c>
    </row>
    <row r="29" ht="14.25" spans="2:4">
      <c r="B29" s="38">
        <v>25</v>
      </c>
      <c r="C29" s="18" t="s">
        <v>568</v>
      </c>
      <c r="D29" s="39" t="s">
        <v>546</v>
      </c>
    </row>
    <row r="30" ht="14.25" spans="2:4">
      <c r="B30" s="38">
        <v>26</v>
      </c>
      <c r="C30" s="18" t="s">
        <v>569</v>
      </c>
      <c r="D30" s="39" t="s">
        <v>546</v>
      </c>
    </row>
    <row r="31" ht="14.25" spans="2:4">
      <c r="B31" s="38">
        <v>27</v>
      </c>
      <c r="C31" s="18" t="s">
        <v>570</v>
      </c>
      <c r="D31" s="39" t="s">
        <v>540</v>
      </c>
    </row>
    <row r="32" ht="14.25" spans="2:4">
      <c r="B32" s="38">
        <v>30</v>
      </c>
      <c r="C32" s="18" t="s">
        <v>571</v>
      </c>
      <c r="D32" s="39" t="s">
        <v>572</v>
      </c>
    </row>
    <row r="33" ht="14.25" spans="2:4">
      <c r="B33" s="38">
        <v>31</v>
      </c>
      <c r="C33" s="18" t="s">
        <v>573</v>
      </c>
      <c r="D33" s="39" t="s">
        <v>574</v>
      </c>
    </row>
    <row r="34" ht="14.25" spans="2:4">
      <c r="B34" s="38">
        <v>32</v>
      </c>
      <c r="C34" s="18" t="s">
        <v>575</v>
      </c>
      <c r="D34" s="39" t="s">
        <v>576</v>
      </c>
    </row>
    <row r="35" ht="14.25" spans="2:4">
      <c r="B35" s="38">
        <v>33</v>
      </c>
      <c r="C35" s="18" t="s">
        <v>577</v>
      </c>
      <c r="D35" s="39" t="s">
        <v>530</v>
      </c>
    </row>
    <row r="36" ht="14.25" spans="2:4">
      <c r="B36" s="38">
        <v>34</v>
      </c>
      <c r="C36" s="18" t="s">
        <v>578</v>
      </c>
      <c r="D36" s="39" t="s">
        <v>530</v>
      </c>
    </row>
    <row r="37" ht="14.25" spans="2:4">
      <c r="B37" s="38">
        <v>35</v>
      </c>
      <c r="C37" s="18" t="s">
        <v>579</v>
      </c>
      <c r="D37" s="39" t="s">
        <v>580</v>
      </c>
    </row>
    <row r="38" ht="14.25" spans="2:4">
      <c r="B38" s="38">
        <v>36</v>
      </c>
      <c r="C38" s="18" t="s">
        <v>581</v>
      </c>
      <c r="D38" s="39" t="s">
        <v>576</v>
      </c>
    </row>
    <row r="39" ht="14.25" spans="2:4">
      <c r="B39" s="38">
        <v>37</v>
      </c>
      <c r="C39" s="18" t="s">
        <v>582</v>
      </c>
      <c r="D39" s="39" t="s">
        <v>549</v>
      </c>
    </row>
    <row r="40" ht="14.25" spans="2:4">
      <c r="B40" s="38">
        <v>38</v>
      </c>
      <c r="C40" s="18" t="s">
        <v>583</v>
      </c>
      <c r="D40" s="39" t="s">
        <v>553</v>
      </c>
    </row>
    <row r="41" ht="14.25" spans="2:4">
      <c r="B41" s="38">
        <v>39</v>
      </c>
      <c r="C41" s="18" t="s">
        <v>584</v>
      </c>
      <c r="D41" s="39" t="s">
        <v>551</v>
      </c>
    </row>
    <row r="42" ht="14.25" spans="2:4">
      <c r="B42" s="38">
        <v>40</v>
      </c>
      <c r="C42" s="18" t="s">
        <v>585</v>
      </c>
      <c r="D42" s="39" t="s">
        <v>553</v>
      </c>
    </row>
    <row r="43" ht="14.25" spans="2:4">
      <c r="B43" s="38">
        <v>41</v>
      </c>
      <c r="C43" s="18" t="s">
        <v>586</v>
      </c>
      <c r="D43" s="39" t="s">
        <v>587</v>
      </c>
    </row>
    <row r="44" ht="14.25" spans="2:4">
      <c r="B44" s="38">
        <v>42</v>
      </c>
      <c r="C44" s="18" t="s">
        <v>588</v>
      </c>
      <c r="D44" s="39" t="s">
        <v>549</v>
      </c>
    </row>
    <row r="45" ht="14.25" spans="2:4">
      <c r="B45" s="38">
        <v>43</v>
      </c>
      <c r="C45" s="18" t="s">
        <v>589</v>
      </c>
      <c r="D45" s="39" t="s">
        <v>590</v>
      </c>
    </row>
    <row r="46" ht="14.25" spans="2:4">
      <c r="B46" s="38">
        <v>44</v>
      </c>
      <c r="C46" s="18" t="s">
        <v>591</v>
      </c>
      <c r="D46" s="39" t="s">
        <v>549</v>
      </c>
    </row>
    <row r="47" ht="14.25" spans="2:4">
      <c r="B47" s="38">
        <v>45</v>
      </c>
      <c r="C47" s="18" t="s">
        <v>592</v>
      </c>
      <c r="D47" s="39" t="s">
        <v>551</v>
      </c>
    </row>
    <row r="48" ht="14.25" spans="2:4">
      <c r="B48" s="38">
        <v>46</v>
      </c>
      <c r="C48" s="18" t="s">
        <v>593</v>
      </c>
      <c r="D48" s="39" t="s">
        <v>567</v>
      </c>
    </row>
    <row r="49" ht="14.25" spans="2:4">
      <c r="B49" s="38">
        <v>47</v>
      </c>
      <c r="C49" s="18" t="s">
        <v>594</v>
      </c>
      <c r="D49" s="39" t="s">
        <v>595</v>
      </c>
    </row>
    <row r="50" ht="14.25" spans="2:4">
      <c r="B50" s="38">
        <v>48</v>
      </c>
      <c r="C50" s="18" t="s">
        <v>596</v>
      </c>
      <c r="D50" s="39" t="s">
        <v>549</v>
      </c>
    </row>
    <row r="51" ht="14.25" spans="2:4">
      <c r="B51" s="38">
        <v>49</v>
      </c>
      <c r="C51" s="18" t="s">
        <v>597</v>
      </c>
      <c r="D51" s="39" t="s">
        <v>553</v>
      </c>
    </row>
    <row r="52" ht="14.25" spans="2:4">
      <c r="B52" s="38">
        <v>50</v>
      </c>
      <c r="C52" s="18" t="s">
        <v>598</v>
      </c>
      <c r="D52" s="39" t="s">
        <v>599</v>
      </c>
    </row>
    <row r="53" ht="14.25" spans="2:4">
      <c r="B53" s="38">
        <v>51</v>
      </c>
      <c r="C53" s="18" t="s">
        <v>600</v>
      </c>
      <c r="D53" s="39" t="s">
        <v>599</v>
      </c>
    </row>
    <row r="54" ht="14.25" spans="2:4">
      <c r="B54" s="38">
        <v>52</v>
      </c>
      <c r="C54" s="18" t="s">
        <v>601</v>
      </c>
      <c r="D54" s="39" t="s">
        <v>544</v>
      </c>
    </row>
    <row r="55" ht="14.25" spans="2:4">
      <c r="B55" s="38">
        <v>53</v>
      </c>
      <c r="C55" s="18" t="s">
        <v>602</v>
      </c>
      <c r="D55" s="39" t="s">
        <v>603</v>
      </c>
    </row>
  </sheetData>
  <mergeCells count="1">
    <mergeCell ref="B2:D2"/>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64"/>
  <sheetViews>
    <sheetView workbookViewId="0">
      <selection activeCell="J21" sqref="J21"/>
    </sheetView>
  </sheetViews>
  <sheetFormatPr defaultColWidth="8.875" defaultRowHeight="13.5" outlineLevelCol="5"/>
  <cols>
    <col min="1" max="1" width="7.375" style="2" customWidth="1"/>
    <col min="2" max="2" width="30.75" style="2" customWidth="1"/>
    <col min="3" max="3" width="8.75" style="2" customWidth="1"/>
    <col min="4" max="4" width="7.375" style="2" customWidth="1"/>
    <col min="5" max="5" width="30.75" style="2" customWidth="1"/>
    <col min="6" max="6" width="8.75" style="2" customWidth="1"/>
    <col min="7" max="16384" width="8.875" style="2"/>
  </cols>
  <sheetData>
    <row r="1" ht="37.15" customHeight="1" spans="1:6">
      <c r="A1" s="40" t="s">
        <v>604</v>
      </c>
      <c r="B1" s="40"/>
      <c r="C1" s="40"/>
      <c r="D1" s="40"/>
      <c r="E1" s="40"/>
      <c r="F1" s="40"/>
    </row>
    <row r="2" s="1" customFormat="1" ht="18" customHeight="1" spans="1:6">
      <c r="A2" s="41" t="s">
        <v>605</v>
      </c>
      <c r="B2" s="41" t="s">
        <v>606</v>
      </c>
      <c r="C2" s="41" t="s">
        <v>607</v>
      </c>
      <c r="D2" s="41" t="s">
        <v>605</v>
      </c>
      <c r="E2" s="41" t="s">
        <v>606</v>
      </c>
      <c r="F2" s="41" t="s">
        <v>607</v>
      </c>
    </row>
    <row r="3" ht="18" customHeight="1" spans="1:6">
      <c r="A3" s="42" t="s">
        <v>608</v>
      </c>
      <c r="B3" s="43" t="s">
        <v>609</v>
      </c>
      <c r="C3" s="41"/>
      <c r="D3" s="42" t="s">
        <v>610</v>
      </c>
      <c r="E3" s="43" t="s">
        <v>611</v>
      </c>
      <c r="F3" s="41"/>
    </row>
    <row r="4" ht="18" customHeight="1" spans="1:6">
      <c r="A4" s="42" t="s">
        <v>612</v>
      </c>
      <c r="B4" s="43" t="s">
        <v>613</v>
      </c>
      <c r="C4" s="41"/>
      <c r="D4" s="41">
        <v>1</v>
      </c>
      <c r="E4" s="44" t="s">
        <v>614</v>
      </c>
      <c r="F4" s="41" t="s">
        <v>615</v>
      </c>
    </row>
    <row r="5" ht="18" customHeight="1" spans="1:6">
      <c r="A5" s="41">
        <v>1</v>
      </c>
      <c r="B5" s="44" t="s">
        <v>616</v>
      </c>
      <c r="C5" s="41" t="s">
        <v>617</v>
      </c>
      <c r="D5" s="41">
        <v>2</v>
      </c>
      <c r="E5" s="44" t="s">
        <v>618</v>
      </c>
      <c r="F5" s="41">
        <v>10</v>
      </c>
    </row>
    <row r="6" ht="18" customHeight="1" spans="1:6">
      <c r="A6" s="41">
        <v>2</v>
      </c>
      <c r="B6" s="44" t="s">
        <v>619</v>
      </c>
      <c r="C6" s="41" t="s">
        <v>620</v>
      </c>
      <c r="D6" s="41">
        <v>3</v>
      </c>
      <c r="E6" s="44" t="s">
        <v>621</v>
      </c>
      <c r="F6" s="41" t="s">
        <v>622</v>
      </c>
    </row>
    <row r="7" ht="18" customHeight="1" spans="1:6">
      <c r="A7" s="41">
        <v>3</v>
      </c>
      <c r="B7" s="44" t="s">
        <v>623</v>
      </c>
      <c r="C7" s="41" t="s">
        <v>624</v>
      </c>
      <c r="D7" s="41">
        <v>4</v>
      </c>
      <c r="E7" s="44" t="s">
        <v>625</v>
      </c>
      <c r="F7" s="41" t="s">
        <v>626</v>
      </c>
    </row>
    <row r="8" ht="18" customHeight="1" spans="1:6">
      <c r="A8" s="41">
        <v>4</v>
      </c>
      <c r="B8" s="44" t="s">
        <v>627</v>
      </c>
      <c r="C8" s="41" t="s">
        <v>628</v>
      </c>
      <c r="D8" s="41">
        <v>5</v>
      </c>
      <c r="E8" s="44" t="s">
        <v>629</v>
      </c>
      <c r="F8" s="41" t="s">
        <v>630</v>
      </c>
    </row>
    <row r="9" ht="18" customHeight="1" spans="1:6">
      <c r="A9" s="41">
        <v>5</v>
      </c>
      <c r="B9" s="44" t="s">
        <v>631</v>
      </c>
      <c r="C9" s="41" t="s">
        <v>632</v>
      </c>
      <c r="D9" s="41">
        <v>6</v>
      </c>
      <c r="E9" s="44" t="s">
        <v>633</v>
      </c>
      <c r="F9" s="41" t="s">
        <v>634</v>
      </c>
    </row>
    <row r="10" ht="18" customHeight="1" spans="1:6">
      <c r="A10" s="41"/>
      <c r="B10" s="44" t="s">
        <v>635</v>
      </c>
      <c r="C10" s="41">
        <v>14</v>
      </c>
      <c r="D10" s="41">
        <v>7</v>
      </c>
      <c r="E10" s="44" t="s">
        <v>636</v>
      </c>
      <c r="F10" s="41">
        <v>8</v>
      </c>
    </row>
    <row r="11" ht="18" customHeight="1" spans="1:6">
      <c r="A11" s="41">
        <v>6</v>
      </c>
      <c r="B11" s="44" t="s">
        <v>637</v>
      </c>
      <c r="C11" s="41" t="s">
        <v>617</v>
      </c>
      <c r="D11" s="41">
        <v>8</v>
      </c>
      <c r="E11" s="44" t="s">
        <v>638</v>
      </c>
      <c r="F11" s="41">
        <v>8</v>
      </c>
    </row>
    <row r="12" ht="18" customHeight="1" spans="1:6">
      <c r="A12" s="42" t="s">
        <v>639</v>
      </c>
      <c r="B12" s="43" t="s">
        <v>640</v>
      </c>
      <c r="C12" s="41"/>
      <c r="D12" s="41">
        <v>9</v>
      </c>
      <c r="E12" s="44" t="s">
        <v>641</v>
      </c>
      <c r="F12" s="41">
        <v>8</v>
      </c>
    </row>
    <row r="13" ht="18" customHeight="1" spans="1:6">
      <c r="A13" s="41">
        <v>1</v>
      </c>
      <c r="B13" s="44" t="s">
        <v>642</v>
      </c>
      <c r="C13" s="41" t="s">
        <v>643</v>
      </c>
      <c r="D13" s="41">
        <v>10</v>
      </c>
      <c r="E13" s="44" t="s">
        <v>644</v>
      </c>
      <c r="F13" s="41">
        <v>10</v>
      </c>
    </row>
    <row r="14" ht="18" customHeight="1" spans="1:6">
      <c r="A14" s="41">
        <v>2</v>
      </c>
      <c r="B14" s="44" t="s">
        <v>645</v>
      </c>
      <c r="C14" s="41">
        <v>20</v>
      </c>
      <c r="D14" s="45" t="s">
        <v>646</v>
      </c>
      <c r="E14" s="43" t="s">
        <v>647</v>
      </c>
      <c r="F14" s="41"/>
    </row>
    <row r="15" ht="18" customHeight="1" spans="1:6">
      <c r="A15" s="41"/>
      <c r="B15" s="44" t="s">
        <v>648</v>
      </c>
      <c r="C15" s="41" t="s">
        <v>649</v>
      </c>
      <c r="D15" s="41">
        <v>1</v>
      </c>
      <c r="E15" s="44" t="s">
        <v>650</v>
      </c>
      <c r="F15" s="41" t="s">
        <v>651</v>
      </c>
    </row>
    <row r="16" ht="18" customHeight="1" spans="1:6">
      <c r="A16" s="41">
        <v>3</v>
      </c>
      <c r="B16" s="44" t="s">
        <v>652</v>
      </c>
      <c r="C16" s="41" t="s">
        <v>617</v>
      </c>
      <c r="D16" s="41">
        <v>2</v>
      </c>
      <c r="E16" s="44" t="s">
        <v>653</v>
      </c>
      <c r="F16" s="41" t="s">
        <v>654</v>
      </c>
    </row>
    <row r="17" ht="18" customHeight="1" spans="1:6">
      <c r="A17" s="41">
        <v>4</v>
      </c>
      <c r="B17" s="44" t="s">
        <v>655</v>
      </c>
      <c r="C17" s="41" t="s">
        <v>656</v>
      </c>
      <c r="D17" s="41">
        <v>3</v>
      </c>
      <c r="E17" s="44" t="s">
        <v>657</v>
      </c>
      <c r="F17" s="41" t="s">
        <v>654</v>
      </c>
    </row>
    <row r="18" ht="18" customHeight="1" spans="1:6">
      <c r="A18" s="41">
        <v>5</v>
      </c>
      <c r="B18" s="44" t="s">
        <v>658</v>
      </c>
      <c r="C18" s="41" t="s">
        <v>626</v>
      </c>
      <c r="D18" s="41">
        <v>4</v>
      </c>
      <c r="E18" s="44" t="s">
        <v>659</v>
      </c>
      <c r="F18" s="41" t="s">
        <v>660</v>
      </c>
    </row>
    <row r="19" ht="18" customHeight="1" spans="1:6">
      <c r="A19" s="41">
        <v>6</v>
      </c>
      <c r="B19" s="44" t="s">
        <v>661</v>
      </c>
      <c r="C19" s="41" t="s">
        <v>662</v>
      </c>
      <c r="D19" s="41">
        <v>5</v>
      </c>
      <c r="E19" s="44" t="s">
        <v>663</v>
      </c>
      <c r="F19" s="41">
        <v>10</v>
      </c>
    </row>
    <row r="20" ht="18" customHeight="1" spans="1:6">
      <c r="A20" s="41">
        <v>7</v>
      </c>
      <c r="B20" s="44" t="s">
        <v>664</v>
      </c>
      <c r="C20" s="41" t="s">
        <v>643</v>
      </c>
      <c r="D20" s="41">
        <v>6</v>
      </c>
      <c r="E20" s="44" t="s">
        <v>665</v>
      </c>
      <c r="F20" s="41">
        <v>12</v>
      </c>
    </row>
    <row r="21" ht="18" customHeight="1" spans="1:6">
      <c r="A21" s="41">
        <v>8</v>
      </c>
      <c r="B21" s="44" t="s">
        <v>666</v>
      </c>
      <c r="C21" s="41" t="s">
        <v>632</v>
      </c>
      <c r="D21" s="42" t="s">
        <v>667</v>
      </c>
      <c r="E21" s="43" t="s">
        <v>668</v>
      </c>
      <c r="F21" s="41"/>
    </row>
    <row r="22" ht="18" customHeight="1" spans="1:6">
      <c r="A22" s="41"/>
      <c r="B22" s="44" t="s">
        <v>669</v>
      </c>
      <c r="C22" s="41">
        <v>15</v>
      </c>
      <c r="D22" s="41">
        <v>1</v>
      </c>
      <c r="E22" s="44" t="s">
        <v>670</v>
      </c>
      <c r="F22" s="41" t="s">
        <v>628</v>
      </c>
    </row>
    <row r="23" ht="18" customHeight="1" spans="1:6">
      <c r="A23" s="41">
        <v>9</v>
      </c>
      <c r="B23" s="44" t="s">
        <v>671</v>
      </c>
      <c r="C23" s="41" t="s">
        <v>622</v>
      </c>
      <c r="D23" s="41">
        <v>2</v>
      </c>
      <c r="E23" s="44" t="s">
        <v>672</v>
      </c>
      <c r="F23" s="41" t="s">
        <v>630</v>
      </c>
    </row>
    <row r="24" ht="18" customHeight="1" spans="1:6">
      <c r="A24" s="41">
        <v>10</v>
      </c>
      <c r="B24" s="44" t="s">
        <v>673</v>
      </c>
      <c r="C24" s="41" t="s">
        <v>674</v>
      </c>
      <c r="D24" s="41">
        <v>3</v>
      </c>
      <c r="E24" s="44" t="s">
        <v>675</v>
      </c>
      <c r="F24" s="41" t="s">
        <v>676</v>
      </c>
    </row>
    <row r="25" ht="18" customHeight="1" spans="1:6">
      <c r="A25" s="42" t="s">
        <v>677</v>
      </c>
      <c r="B25" s="43" t="s">
        <v>678</v>
      </c>
      <c r="C25" s="41"/>
      <c r="D25" s="41">
        <v>4</v>
      </c>
      <c r="E25" s="44" t="s">
        <v>679</v>
      </c>
      <c r="F25" s="41"/>
    </row>
    <row r="26" ht="18" customHeight="1" spans="1:6">
      <c r="A26" s="41">
        <v>1</v>
      </c>
      <c r="B26" s="44" t="s">
        <v>680</v>
      </c>
      <c r="C26" s="41" t="s">
        <v>643</v>
      </c>
      <c r="D26" s="41">
        <v>5</v>
      </c>
      <c r="E26" s="44" t="s">
        <v>681</v>
      </c>
      <c r="F26" s="41">
        <v>13</v>
      </c>
    </row>
    <row r="27" ht="18" customHeight="1" spans="1:6">
      <c r="A27" s="41">
        <v>2</v>
      </c>
      <c r="B27" s="44" t="s">
        <v>682</v>
      </c>
      <c r="C27" s="41">
        <v>28</v>
      </c>
      <c r="D27" s="41">
        <v>6</v>
      </c>
      <c r="E27" s="44" t="s">
        <v>683</v>
      </c>
      <c r="F27" s="41">
        <v>16</v>
      </c>
    </row>
    <row r="28" ht="18" customHeight="1" spans="1:6">
      <c r="A28" s="41">
        <v>3</v>
      </c>
      <c r="B28" s="44" t="s">
        <v>684</v>
      </c>
      <c r="C28" s="41">
        <v>30</v>
      </c>
      <c r="D28" s="41">
        <v>7</v>
      </c>
      <c r="E28" s="44" t="s">
        <v>685</v>
      </c>
      <c r="F28" s="41">
        <v>10</v>
      </c>
    </row>
    <row r="29" ht="18" customHeight="1" spans="1:6">
      <c r="A29" s="41">
        <v>4</v>
      </c>
      <c r="B29" s="44" t="s">
        <v>686</v>
      </c>
      <c r="C29" s="41" t="s">
        <v>687</v>
      </c>
      <c r="D29" s="41">
        <v>8</v>
      </c>
      <c r="E29" s="44" t="s">
        <v>688</v>
      </c>
      <c r="F29" s="41">
        <v>15</v>
      </c>
    </row>
    <row r="30" ht="18" customHeight="1" spans="1:6">
      <c r="A30" s="41">
        <v>5</v>
      </c>
      <c r="B30" s="44" t="s">
        <v>689</v>
      </c>
      <c r="C30" s="41" t="s">
        <v>687</v>
      </c>
      <c r="D30" s="42" t="s">
        <v>690</v>
      </c>
      <c r="E30" s="43" t="s">
        <v>691</v>
      </c>
      <c r="F30" s="41"/>
    </row>
    <row r="31" ht="18" customHeight="1" spans="1:6">
      <c r="A31" s="42" t="s">
        <v>692</v>
      </c>
      <c r="B31" s="43" t="s">
        <v>693</v>
      </c>
      <c r="C31" s="41"/>
      <c r="D31" s="41">
        <v>1</v>
      </c>
      <c r="E31" s="44" t="s">
        <v>694</v>
      </c>
      <c r="F31" s="41">
        <v>22</v>
      </c>
    </row>
    <row r="32" ht="18" customHeight="1" spans="1:6">
      <c r="A32" s="41">
        <v>1</v>
      </c>
      <c r="B32" s="44" t="s">
        <v>695</v>
      </c>
      <c r="C32" s="41">
        <v>18</v>
      </c>
      <c r="D32" s="41">
        <v>2</v>
      </c>
      <c r="E32" s="44" t="s">
        <v>696</v>
      </c>
      <c r="F32" s="41" t="s">
        <v>643</v>
      </c>
    </row>
    <row r="33" ht="18" customHeight="1" spans="1:6">
      <c r="A33" s="41">
        <v>2</v>
      </c>
      <c r="B33" s="44" t="s">
        <v>697</v>
      </c>
      <c r="C33" s="41">
        <v>18</v>
      </c>
      <c r="D33" s="41">
        <v>3</v>
      </c>
      <c r="E33" s="44" t="s">
        <v>698</v>
      </c>
      <c r="F33" s="41" t="s">
        <v>643</v>
      </c>
    </row>
    <row r="34" ht="18" customHeight="1" spans="1:6">
      <c r="A34" s="41">
        <v>3</v>
      </c>
      <c r="B34" s="44" t="s">
        <v>699</v>
      </c>
      <c r="C34" s="41" t="s">
        <v>628</v>
      </c>
      <c r="D34" s="41"/>
      <c r="E34" s="44" t="s">
        <v>700</v>
      </c>
      <c r="F34" s="41">
        <v>8</v>
      </c>
    </row>
    <row r="35" ht="18" customHeight="1" spans="1:6">
      <c r="A35" s="41">
        <v>4</v>
      </c>
      <c r="B35" s="44" t="s">
        <v>701</v>
      </c>
      <c r="C35" s="41" t="s">
        <v>632</v>
      </c>
      <c r="D35" s="41">
        <v>4</v>
      </c>
      <c r="E35" s="44" t="s">
        <v>702</v>
      </c>
      <c r="F35" s="41" t="s">
        <v>703</v>
      </c>
    </row>
    <row r="36" ht="18" customHeight="1" spans="1:6">
      <c r="A36" s="41">
        <v>5</v>
      </c>
      <c r="B36" s="44" t="s">
        <v>704</v>
      </c>
      <c r="C36" s="41">
        <v>18</v>
      </c>
      <c r="D36" s="41">
        <v>5</v>
      </c>
      <c r="E36" s="44" t="s">
        <v>705</v>
      </c>
      <c r="F36" s="41">
        <v>20</v>
      </c>
    </row>
    <row r="37" ht="18" customHeight="1" spans="1:6">
      <c r="A37" s="46"/>
      <c r="B37" s="46"/>
      <c r="C37" s="46"/>
      <c r="D37" s="41">
        <v>6</v>
      </c>
      <c r="E37" s="44" t="s">
        <v>706</v>
      </c>
      <c r="F37" s="41">
        <v>22</v>
      </c>
    </row>
    <row r="38" ht="18" customHeight="1"/>
    <row r="39" ht="18" customHeight="1"/>
    <row r="40" ht="18" customHeight="1"/>
    <row r="41" ht="18" customHeight="1"/>
    <row r="42" ht="18" customHeight="1"/>
    <row r="43" ht="18" customHeight="1" spans="1:6">
      <c r="A43" s="41" t="s">
        <v>605</v>
      </c>
      <c r="B43" s="41" t="s">
        <v>606</v>
      </c>
      <c r="C43" s="41" t="s">
        <v>607</v>
      </c>
      <c r="D43" s="41" t="s">
        <v>605</v>
      </c>
      <c r="E43" s="41" t="s">
        <v>606</v>
      </c>
      <c r="F43" s="41" t="s">
        <v>607</v>
      </c>
    </row>
    <row r="44" ht="18" customHeight="1" spans="1:6">
      <c r="A44" s="47" t="s">
        <v>707</v>
      </c>
      <c r="B44" s="48" t="s">
        <v>708</v>
      </c>
      <c r="C44" s="4"/>
      <c r="D44" s="47">
        <v>6</v>
      </c>
      <c r="E44" s="48" t="s">
        <v>709</v>
      </c>
      <c r="F44" s="4"/>
    </row>
    <row r="45" ht="18" customHeight="1" spans="1:6">
      <c r="A45" s="47" t="s">
        <v>710</v>
      </c>
      <c r="B45" s="48" t="s">
        <v>711</v>
      </c>
      <c r="C45" s="4" t="s">
        <v>712</v>
      </c>
      <c r="D45" s="4" t="s">
        <v>713</v>
      </c>
      <c r="E45" s="31" t="s">
        <v>714</v>
      </c>
      <c r="F45" s="4">
        <v>18</v>
      </c>
    </row>
    <row r="46" ht="18" customHeight="1" spans="1:6">
      <c r="A46" s="47">
        <v>1</v>
      </c>
      <c r="B46" s="48" t="s">
        <v>715</v>
      </c>
      <c r="C46" s="4"/>
      <c r="D46" s="4" t="s">
        <v>716</v>
      </c>
      <c r="E46" s="31" t="s">
        <v>717</v>
      </c>
      <c r="F46" s="4">
        <v>18</v>
      </c>
    </row>
    <row r="47" ht="18" customHeight="1" spans="1:6">
      <c r="A47" s="4" t="s">
        <v>713</v>
      </c>
      <c r="B47" s="31" t="s">
        <v>718</v>
      </c>
      <c r="C47" s="4">
        <v>18</v>
      </c>
      <c r="D47" s="4" t="s">
        <v>719</v>
      </c>
      <c r="E47" s="31" t="s">
        <v>720</v>
      </c>
      <c r="F47" s="4">
        <v>16</v>
      </c>
    </row>
    <row r="48" ht="18" customHeight="1" spans="1:6">
      <c r="A48" s="4" t="s">
        <v>716</v>
      </c>
      <c r="B48" s="31" t="s">
        <v>721</v>
      </c>
      <c r="C48" s="4">
        <v>16</v>
      </c>
      <c r="D48" s="4" t="s">
        <v>722</v>
      </c>
      <c r="E48" s="31" t="s">
        <v>723</v>
      </c>
      <c r="F48" s="4">
        <v>12</v>
      </c>
    </row>
    <row r="49" ht="18" customHeight="1" spans="1:6">
      <c r="A49" s="4" t="s">
        <v>719</v>
      </c>
      <c r="B49" s="31" t="s">
        <v>724</v>
      </c>
      <c r="C49" s="4">
        <v>15</v>
      </c>
      <c r="D49" s="4" t="s">
        <v>725</v>
      </c>
      <c r="E49" s="31" t="s">
        <v>726</v>
      </c>
      <c r="F49" s="4">
        <v>15</v>
      </c>
    </row>
    <row r="50" ht="18" customHeight="1" spans="1:6">
      <c r="A50" s="4" t="s">
        <v>722</v>
      </c>
      <c r="B50" s="31" t="s">
        <v>727</v>
      </c>
      <c r="C50" s="4">
        <v>18</v>
      </c>
      <c r="D50" s="4" t="s">
        <v>728</v>
      </c>
      <c r="E50" s="31" t="s">
        <v>729</v>
      </c>
      <c r="F50" s="4">
        <v>13</v>
      </c>
    </row>
    <row r="51" ht="18" customHeight="1" spans="1:6">
      <c r="A51" s="4" t="s">
        <v>725</v>
      </c>
      <c r="B51" s="31" t="s">
        <v>730</v>
      </c>
      <c r="C51" s="4">
        <v>16</v>
      </c>
      <c r="D51" s="4" t="s">
        <v>731</v>
      </c>
      <c r="E51" s="31" t="s">
        <v>732</v>
      </c>
      <c r="F51" s="4">
        <v>20</v>
      </c>
    </row>
    <row r="52" ht="18" customHeight="1" spans="1:6">
      <c r="A52" s="4" t="s">
        <v>728</v>
      </c>
      <c r="B52" s="31" t="s">
        <v>733</v>
      </c>
      <c r="C52" s="4">
        <v>18</v>
      </c>
      <c r="D52" s="47">
        <v>7</v>
      </c>
      <c r="E52" s="48" t="s">
        <v>734</v>
      </c>
      <c r="F52" s="4"/>
    </row>
    <row r="53" ht="18" customHeight="1" spans="1:6">
      <c r="A53" s="4" t="s">
        <v>731</v>
      </c>
      <c r="B53" s="31" t="s">
        <v>735</v>
      </c>
      <c r="C53" s="4">
        <v>18</v>
      </c>
      <c r="D53" s="4" t="s">
        <v>713</v>
      </c>
      <c r="E53" s="31" t="s">
        <v>736</v>
      </c>
      <c r="F53" s="4" t="s">
        <v>737</v>
      </c>
    </row>
    <row r="54" ht="18" customHeight="1" spans="1:6">
      <c r="A54" s="47">
        <v>2</v>
      </c>
      <c r="B54" s="48" t="s">
        <v>738</v>
      </c>
      <c r="C54" s="4"/>
      <c r="D54" s="4" t="s">
        <v>716</v>
      </c>
      <c r="E54" s="31" t="s">
        <v>739</v>
      </c>
      <c r="F54" s="4">
        <v>15</v>
      </c>
    </row>
    <row r="55" ht="18" customHeight="1" spans="1:6">
      <c r="A55" s="4" t="s">
        <v>713</v>
      </c>
      <c r="B55" s="31" t="s">
        <v>740</v>
      </c>
      <c r="C55" s="4">
        <v>18</v>
      </c>
      <c r="D55" s="4" t="s">
        <v>719</v>
      </c>
      <c r="E55" s="31" t="s">
        <v>741</v>
      </c>
      <c r="F55" s="4">
        <v>10</v>
      </c>
    </row>
    <row r="56" ht="18" customHeight="1" spans="1:6">
      <c r="A56" s="4" t="s">
        <v>716</v>
      </c>
      <c r="B56" s="31" t="s">
        <v>721</v>
      </c>
      <c r="C56" s="4">
        <v>18</v>
      </c>
      <c r="D56" s="4" t="s">
        <v>722</v>
      </c>
      <c r="E56" s="31" t="s">
        <v>742</v>
      </c>
      <c r="F56" s="4">
        <v>15</v>
      </c>
    </row>
    <row r="57" ht="18" customHeight="1" spans="1:6">
      <c r="A57" s="4" t="s">
        <v>719</v>
      </c>
      <c r="B57" s="31" t="s">
        <v>743</v>
      </c>
      <c r="C57" s="4">
        <v>18</v>
      </c>
      <c r="D57" s="4" t="s">
        <v>725</v>
      </c>
      <c r="E57" s="31" t="s">
        <v>744</v>
      </c>
      <c r="F57" s="4">
        <v>14</v>
      </c>
    </row>
    <row r="58" ht="18" customHeight="1" spans="1:6">
      <c r="A58" s="4" t="s">
        <v>722</v>
      </c>
      <c r="B58" s="31" t="s">
        <v>745</v>
      </c>
      <c r="C58" s="4">
        <v>15</v>
      </c>
      <c r="D58" s="4" t="s">
        <v>728</v>
      </c>
      <c r="E58" s="31" t="s">
        <v>746</v>
      </c>
      <c r="F58" s="4">
        <v>16</v>
      </c>
    </row>
    <row r="59" ht="18" customHeight="1" spans="1:6">
      <c r="A59" s="4" t="s">
        <v>725</v>
      </c>
      <c r="B59" s="31" t="s">
        <v>747</v>
      </c>
      <c r="C59" s="4">
        <v>18</v>
      </c>
      <c r="D59" s="47">
        <v>8</v>
      </c>
      <c r="E59" s="48" t="s">
        <v>748</v>
      </c>
      <c r="F59" s="4"/>
    </row>
    <row r="60" ht="18" customHeight="1" spans="1:6">
      <c r="A60" s="47">
        <v>3</v>
      </c>
      <c r="B60" s="48" t="s">
        <v>749</v>
      </c>
      <c r="C60" s="4"/>
      <c r="D60" s="4" t="s">
        <v>713</v>
      </c>
      <c r="E60" s="31" t="s">
        <v>750</v>
      </c>
      <c r="F60" s="4">
        <v>15</v>
      </c>
    </row>
    <row r="61" ht="18" customHeight="1" spans="1:6">
      <c r="A61" s="4" t="s">
        <v>713</v>
      </c>
      <c r="B61" s="31" t="s">
        <v>751</v>
      </c>
      <c r="C61" s="4">
        <v>16</v>
      </c>
      <c r="D61" s="4" t="s">
        <v>716</v>
      </c>
      <c r="E61" s="31" t="s">
        <v>721</v>
      </c>
      <c r="F61" s="4">
        <v>16</v>
      </c>
    </row>
    <row r="62" ht="18" customHeight="1" spans="1:6">
      <c r="A62" s="4" t="s">
        <v>716</v>
      </c>
      <c r="B62" s="31" t="s">
        <v>752</v>
      </c>
      <c r="C62" s="4">
        <v>16</v>
      </c>
      <c r="D62" s="4" t="s">
        <v>719</v>
      </c>
      <c r="E62" s="31" t="s">
        <v>724</v>
      </c>
      <c r="F62" s="4">
        <v>15</v>
      </c>
    </row>
    <row r="63" ht="18" customHeight="1" spans="1:6">
      <c r="A63" s="4" t="s">
        <v>719</v>
      </c>
      <c r="B63" s="31" t="s">
        <v>753</v>
      </c>
      <c r="C63" s="4">
        <v>16</v>
      </c>
      <c r="D63" s="47">
        <v>9</v>
      </c>
      <c r="E63" s="48" t="s">
        <v>754</v>
      </c>
      <c r="F63" s="4"/>
    </row>
    <row r="64" ht="18" customHeight="1" spans="1:6">
      <c r="A64" s="4" t="s">
        <v>722</v>
      </c>
      <c r="B64" s="31" t="s">
        <v>755</v>
      </c>
      <c r="C64" s="4">
        <v>15</v>
      </c>
      <c r="D64" s="4" t="s">
        <v>713</v>
      </c>
      <c r="E64" s="31" t="s">
        <v>756</v>
      </c>
      <c r="F64" s="4">
        <v>16</v>
      </c>
    </row>
    <row r="65" ht="18" customHeight="1" spans="1:6">
      <c r="A65" s="4" t="s">
        <v>725</v>
      </c>
      <c r="B65" s="31" t="s">
        <v>757</v>
      </c>
      <c r="C65" s="4" t="s">
        <v>758</v>
      </c>
      <c r="D65" s="4" t="s">
        <v>716</v>
      </c>
      <c r="E65" s="31" t="s">
        <v>757</v>
      </c>
      <c r="F65" s="4">
        <v>18</v>
      </c>
    </row>
    <row r="66" ht="18" customHeight="1" spans="1:6">
      <c r="A66" s="4" t="s">
        <v>728</v>
      </c>
      <c r="B66" s="31" t="s">
        <v>759</v>
      </c>
      <c r="C66" s="4">
        <v>16</v>
      </c>
      <c r="D66" s="4" t="s">
        <v>719</v>
      </c>
      <c r="E66" s="31" t="s">
        <v>760</v>
      </c>
      <c r="F66" s="4">
        <v>16</v>
      </c>
    </row>
    <row r="67" ht="18" customHeight="1" spans="1:6">
      <c r="A67" s="4" t="s">
        <v>731</v>
      </c>
      <c r="B67" s="31" t="s">
        <v>761</v>
      </c>
      <c r="C67" s="4">
        <v>15</v>
      </c>
      <c r="D67" s="4" t="s">
        <v>722</v>
      </c>
      <c r="E67" s="31" t="s">
        <v>752</v>
      </c>
      <c r="F67" s="4">
        <v>16</v>
      </c>
    </row>
    <row r="68" ht="18" customHeight="1" spans="1:6">
      <c r="A68" s="4" t="s">
        <v>762</v>
      </c>
      <c r="B68" s="31" t="s">
        <v>763</v>
      </c>
      <c r="C68" s="4" t="s">
        <v>764</v>
      </c>
      <c r="D68" s="4" t="s">
        <v>725</v>
      </c>
      <c r="E68" s="31" t="s">
        <v>759</v>
      </c>
      <c r="F68" s="4">
        <v>16</v>
      </c>
    </row>
    <row r="69" ht="18" customHeight="1" spans="1:6">
      <c r="A69" s="4" t="s">
        <v>765</v>
      </c>
      <c r="B69" s="31" t="s">
        <v>766</v>
      </c>
      <c r="C69" s="4">
        <v>12</v>
      </c>
      <c r="D69" s="4" t="s">
        <v>728</v>
      </c>
      <c r="E69" s="31" t="s">
        <v>761</v>
      </c>
      <c r="F69" s="4">
        <v>15</v>
      </c>
    </row>
    <row r="70" ht="18" customHeight="1" spans="1:6">
      <c r="A70" s="4" t="s">
        <v>767</v>
      </c>
      <c r="B70" s="31" t="s">
        <v>768</v>
      </c>
      <c r="C70" s="4">
        <v>10</v>
      </c>
      <c r="D70" s="4" t="s">
        <v>731</v>
      </c>
      <c r="E70" s="31" t="s">
        <v>769</v>
      </c>
      <c r="F70" s="4">
        <v>10</v>
      </c>
    </row>
    <row r="71" ht="18" customHeight="1" spans="1:6">
      <c r="A71" s="4"/>
      <c r="B71" s="31" t="s">
        <v>770</v>
      </c>
      <c r="C71" s="4">
        <v>18</v>
      </c>
      <c r="D71" s="4" t="s">
        <v>762</v>
      </c>
      <c r="E71" s="31" t="s">
        <v>771</v>
      </c>
      <c r="F71" s="4">
        <v>18</v>
      </c>
    </row>
    <row r="72" ht="18" customHeight="1" spans="1:6">
      <c r="A72" s="47">
        <v>4</v>
      </c>
      <c r="B72" s="48" t="s">
        <v>772</v>
      </c>
      <c r="C72" s="4"/>
      <c r="D72" s="47">
        <v>10</v>
      </c>
      <c r="E72" s="48" t="s">
        <v>711</v>
      </c>
      <c r="F72" s="4">
        <v>20</v>
      </c>
    </row>
    <row r="73" ht="18" customHeight="1" spans="1:6">
      <c r="A73" s="4" t="s">
        <v>713</v>
      </c>
      <c r="B73" s="31" t="s">
        <v>773</v>
      </c>
      <c r="C73" s="4">
        <v>16</v>
      </c>
      <c r="D73" s="47" t="s">
        <v>774</v>
      </c>
      <c r="E73" s="48" t="s">
        <v>775</v>
      </c>
      <c r="F73" s="4" t="s">
        <v>776</v>
      </c>
    </row>
    <row r="74" ht="18" customHeight="1" spans="1:6">
      <c r="A74" s="4" t="s">
        <v>716</v>
      </c>
      <c r="B74" s="31" t="s">
        <v>777</v>
      </c>
      <c r="C74" s="4">
        <v>20</v>
      </c>
      <c r="D74" s="4">
        <v>1</v>
      </c>
      <c r="E74" s="31" t="s">
        <v>778</v>
      </c>
      <c r="F74" s="4">
        <v>32</v>
      </c>
    </row>
    <row r="75" ht="18" customHeight="1" spans="1:6">
      <c r="A75" s="4" t="s">
        <v>719</v>
      </c>
      <c r="B75" s="31" t="s">
        <v>779</v>
      </c>
      <c r="C75" s="4">
        <v>16</v>
      </c>
      <c r="D75" s="4">
        <v>2</v>
      </c>
      <c r="E75" s="31" t="s">
        <v>780</v>
      </c>
      <c r="F75" s="4">
        <v>23</v>
      </c>
    </row>
    <row r="76" ht="18" customHeight="1" spans="1:6">
      <c r="A76" s="4" t="s">
        <v>722</v>
      </c>
      <c r="B76" s="31" t="s">
        <v>781</v>
      </c>
      <c r="C76" s="4">
        <v>16</v>
      </c>
      <c r="D76" s="4">
        <v>3</v>
      </c>
      <c r="E76" s="31" t="s">
        <v>782</v>
      </c>
      <c r="F76" s="4">
        <v>25</v>
      </c>
    </row>
    <row r="77" ht="18" customHeight="1" spans="1:6">
      <c r="A77" s="47">
        <v>5</v>
      </c>
      <c r="B77" s="48" t="s">
        <v>783</v>
      </c>
      <c r="C77" s="4"/>
      <c r="D77" s="4">
        <v>4</v>
      </c>
      <c r="E77" s="31" t="s">
        <v>784</v>
      </c>
      <c r="F77" s="4">
        <v>40</v>
      </c>
    </row>
    <row r="78" ht="18" customHeight="1" spans="1:6">
      <c r="A78" s="4" t="s">
        <v>713</v>
      </c>
      <c r="B78" s="31" t="s">
        <v>785</v>
      </c>
      <c r="C78" s="4">
        <v>16</v>
      </c>
      <c r="D78" s="4">
        <v>5</v>
      </c>
      <c r="E78" s="31" t="s">
        <v>786</v>
      </c>
      <c r="F78" s="4">
        <v>30</v>
      </c>
    </row>
    <row r="79" ht="18" customHeight="1" spans="1:6">
      <c r="A79" s="4" t="s">
        <v>716</v>
      </c>
      <c r="B79" s="31" t="s">
        <v>787</v>
      </c>
      <c r="C79" s="4">
        <v>18</v>
      </c>
      <c r="D79" s="4">
        <v>6</v>
      </c>
      <c r="E79" s="31" t="s">
        <v>788</v>
      </c>
      <c r="F79" s="4">
        <v>25</v>
      </c>
    </row>
    <row r="80" ht="18" customHeight="1" spans="1:6">
      <c r="A80" s="4" t="s">
        <v>719</v>
      </c>
      <c r="B80" s="31" t="s">
        <v>789</v>
      </c>
      <c r="C80" s="4">
        <v>16</v>
      </c>
      <c r="D80" s="4">
        <v>7</v>
      </c>
      <c r="E80" s="31" t="s">
        <v>790</v>
      </c>
      <c r="F80" s="4">
        <v>20</v>
      </c>
    </row>
    <row r="81" ht="18" customHeight="1" spans="1:6">
      <c r="A81" s="4" t="s">
        <v>722</v>
      </c>
      <c r="B81" s="31" t="s">
        <v>791</v>
      </c>
      <c r="C81" s="4">
        <v>12</v>
      </c>
      <c r="D81" s="4">
        <v>8</v>
      </c>
      <c r="E81" s="31" t="s">
        <v>792</v>
      </c>
      <c r="F81" s="4">
        <v>20</v>
      </c>
    </row>
    <row r="82" ht="18" customHeight="1" spans="1:6">
      <c r="A82" s="4" t="s">
        <v>725</v>
      </c>
      <c r="B82" s="31" t="s">
        <v>793</v>
      </c>
      <c r="C82" s="4">
        <v>16</v>
      </c>
      <c r="D82" s="5"/>
      <c r="E82" s="5"/>
      <c r="F82" s="5"/>
    </row>
    <row r="83" ht="18" customHeight="1"/>
    <row r="84" ht="18" customHeight="1"/>
    <row r="85" ht="18" customHeight="1"/>
    <row r="86" ht="18" customHeight="1" spans="1:6">
      <c r="A86" s="41" t="s">
        <v>605</v>
      </c>
      <c r="B86" s="41" t="s">
        <v>606</v>
      </c>
      <c r="C86" s="41" t="s">
        <v>607</v>
      </c>
      <c r="D86" s="41" t="s">
        <v>605</v>
      </c>
      <c r="E86" s="41" t="s">
        <v>606</v>
      </c>
      <c r="F86" s="41" t="s">
        <v>607</v>
      </c>
    </row>
    <row r="87" ht="18" customHeight="1" spans="1:6">
      <c r="A87" s="47" t="s">
        <v>794</v>
      </c>
      <c r="B87" s="48" t="s">
        <v>795</v>
      </c>
      <c r="C87" s="4"/>
      <c r="D87" s="49"/>
      <c r="E87" s="50" t="s">
        <v>796</v>
      </c>
      <c r="F87" s="4">
        <v>18</v>
      </c>
    </row>
    <row r="88" ht="18" customHeight="1" spans="1:6">
      <c r="A88" s="4">
        <v>1</v>
      </c>
      <c r="B88" s="31" t="s">
        <v>797</v>
      </c>
      <c r="C88" s="4">
        <v>15</v>
      </c>
      <c r="D88" s="49"/>
      <c r="E88" s="50" t="s">
        <v>798</v>
      </c>
      <c r="F88" s="4">
        <v>15</v>
      </c>
    </row>
    <row r="89" ht="18" customHeight="1" spans="1:6">
      <c r="A89" s="4">
        <v>2</v>
      </c>
      <c r="B89" s="31" t="s">
        <v>799</v>
      </c>
      <c r="C89" s="4">
        <v>12</v>
      </c>
      <c r="D89" s="49"/>
      <c r="E89" s="50" t="s">
        <v>800</v>
      </c>
      <c r="F89" s="4">
        <v>12</v>
      </c>
    </row>
    <row r="90" ht="18" customHeight="1" spans="1:6">
      <c r="A90" s="4">
        <v>3</v>
      </c>
      <c r="B90" s="31" t="s">
        <v>801</v>
      </c>
      <c r="C90" s="4">
        <v>15</v>
      </c>
      <c r="D90" s="49"/>
      <c r="E90" s="50" t="s">
        <v>802</v>
      </c>
      <c r="F90" s="4">
        <v>12</v>
      </c>
    </row>
    <row r="91" ht="18" customHeight="1" spans="1:6">
      <c r="A91" s="4">
        <v>4</v>
      </c>
      <c r="B91" s="31" t="s">
        <v>803</v>
      </c>
      <c r="C91" s="4">
        <v>15</v>
      </c>
      <c r="D91" s="49"/>
      <c r="E91" s="50" t="s">
        <v>804</v>
      </c>
      <c r="F91" s="4">
        <v>12</v>
      </c>
    </row>
    <row r="92" ht="18" customHeight="1" spans="1:6">
      <c r="A92" s="4">
        <v>5</v>
      </c>
      <c r="B92" s="31" t="s">
        <v>805</v>
      </c>
      <c r="C92" s="4">
        <v>15</v>
      </c>
      <c r="D92" s="49"/>
      <c r="E92" s="50" t="s">
        <v>806</v>
      </c>
      <c r="F92" s="4">
        <v>12</v>
      </c>
    </row>
    <row r="93" ht="18" customHeight="1" spans="1:6">
      <c r="A93" s="4">
        <v>6</v>
      </c>
      <c r="B93" s="31" t="s">
        <v>807</v>
      </c>
      <c r="C93" s="4">
        <v>15</v>
      </c>
      <c r="D93" s="49"/>
      <c r="E93" s="50" t="s">
        <v>808</v>
      </c>
      <c r="F93" s="4">
        <v>13</v>
      </c>
    </row>
    <row r="94" ht="18" customHeight="1" spans="1:6">
      <c r="A94" s="4">
        <v>7</v>
      </c>
      <c r="B94" s="31" t="s">
        <v>809</v>
      </c>
      <c r="C94" s="4">
        <v>15</v>
      </c>
      <c r="D94" s="49"/>
      <c r="E94" s="50" t="s">
        <v>810</v>
      </c>
      <c r="F94" s="4">
        <v>12</v>
      </c>
    </row>
    <row r="95" ht="18" customHeight="1" spans="1:6">
      <c r="A95" s="4">
        <v>8</v>
      </c>
      <c r="B95" s="31" t="s">
        <v>811</v>
      </c>
      <c r="C95" s="4">
        <v>15</v>
      </c>
      <c r="D95" s="49"/>
      <c r="E95" s="50" t="s">
        <v>812</v>
      </c>
      <c r="F95" s="4">
        <v>18</v>
      </c>
    </row>
    <row r="96" ht="18" customHeight="1" spans="1:6">
      <c r="A96" s="4">
        <v>9</v>
      </c>
      <c r="B96" s="31" t="s">
        <v>813</v>
      </c>
      <c r="C96" s="4">
        <v>15</v>
      </c>
      <c r="D96" s="49"/>
      <c r="E96" s="50" t="s">
        <v>814</v>
      </c>
      <c r="F96" s="4">
        <v>15</v>
      </c>
    </row>
    <row r="97" ht="18" customHeight="1" spans="1:6">
      <c r="A97" s="4">
        <v>10</v>
      </c>
      <c r="B97" s="31" t="s">
        <v>815</v>
      </c>
      <c r="C97" s="4">
        <v>15</v>
      </c>
      <c r="D97" s="49">
        <v>3</v>
      </c>
      <c r="E97" s="50" t="s">
        <v>816</v>
      </c>
      <c r="F97" s="4">
        <v>18</v>
      </c>
    </row>
    <row r="98" ht="18" customHeight="1" spans="1:6">
      <c r="A98" s="4">
        <v>11</v>
      </c>
      <c r="B98" s="31" t="s">
        <v>817</v>
      </c>
      <c r="C98" s="4">
        <v>15</v>
      </c>
      <c r="D98" s="49"/>
      <c r="E98" s="50" t="s">
        <v>818</v>
      </c>
      <c r="F98" s="4">
        <v>16</v>
      </c>
    </row>
    <row r="99" ht="18" customHeight="1" spans="1:6">
      <c r="A99" s="4">
        <v>12</v>
      </c>
      <c r="B99" s="31" t="s">
        <v>819</v>
      </c>
      <c r="C99" s="4">
        <v>15</v>
      </c>
      <c r="D99" s="49"/>
      <c r="E99" s="50" t="s">
        <v>820</v>
      </c>
      <c r="F99" s="4">
        <v>20</v>
      </c>
    </row>
    <row r="100" ht="18" customHeight="1" spans="1:6">
      <c r="A100" s="4">
        <v>13</v>
      </c>
      <c r="B100" s="31" t="s">
        <v>821</v>
      </c>
      <c r="C100" s="4">
        <v>15</v>
      </c>
      <c r="D100" s="49"/>
      <c r="E100" s="50" t="s">
        <v>822</v>
      </c>
      <c r="F100" s="4">
        <v>18</v>
      </c>
    </row>
    <row r="101" ht="18" customHeight="1" spans="1:6">
      <c r="A101" s="4">
        <v>14</v>
      </c>
      <c r="B101" s="31" t="s">
        <v>823</v>
      </c>
      <c r="C101" s="4">
        <v>15</v>
      </c>
      <c r="D101" s="49"/>
      <c r="E101" s="51" t="s">
        <v>824</v>
      </c>
      <c r="F101" s="4">
        <v>14</v>
      </c>
    </row>
    <row r="102" ht="18" customHeight="1" spans="1:6">
      <c r="A102" s="4">
        <v>15</v>
      </c>
      <c r="B102" s="31" t="s">
        <v>825</v>
      </c>
      <c r="C102" s="4">
        <v>15</v>
      </c>
      <c r="D102" s="49"/>
      <c r="E102" s="50" t="s">
        <v>818</v>
      </c>
      <c r="F102" s="4">
        <v>12</v>
      </c>
    </row>
    <row r="103" ht="18" customHeight="1" spans="1:6">
      <c r="A103" s="4">
        <v>16</v>
      </c>
      <c r="B103" s="31" t="s">
        <v>826</v>
      </c>
      <c r="C103" s="4">
        <v>13</v>
      </c>
      <c r="D103" s="49"/>
      <c r="E103" s="50" t="s">
        <v>827</v>
      </c>
      <c r="F103" s="4">
        <v>16</v>
      </c>
    </row>
    <row r="104" ht="18" customHeight="1" spans="1:6">
      <c r="A104" s="4">
        <v>17</v>
      </c>
      <c r="B104" s="31" t="s">
        <v>828</v>
      </c>
      <c r="C104" s="4">
        <v>14</v>
      </c>
      <c r="D104" s="49"/>
      <c r="E104" s="50" t="s">
        <v>822</v>
      </c>
      <c r="F104" s="4">
        <v>14</v>
      </c>
    </row>
    <row r="105" ht="18" customHeight="1" spans="1:6">
      <c r="A105" s="4">
        <v>18</v>
      </c>
      <c r="B105" s="31" t="s">
        <v>829</v>
      </c>
      <c r="C105" s="4">
        <v>13</v>
      </c>
      <c r="D105" s="49">
        <v>4</v>
      </c>
      <c r="E105" s="50" t="s">
        <v>830</v>
      </c>
      <c r="F105" s="4">
        <v>18</v>
      </c>
    </row>
    <row r="106" ht="18" customHeight="1" spans="1:6">
      <c r="A106" s="4" t="s">
        <v>713</v>
      </c>
      <c r="B106" s="31" t="s">
        <v>831</v>
      </c>
      <c r="C106" s="4">
        <v>12</v>
      </c>
      <c r="D106" s="49"/>
      <c r="E106" s="50" t="s">
        <v>832</v>
      </c>
      <c r="F106" s="4">
        <v>20</v>
      </c>
    </row>
    <row r="107" ht="18" customHeight="1" spans="1:6">
      <c r="A107" s="4" t="s">
        <v>716</v>
      </c>
      <c r="B107" s="31" t="s">
        <v>833</v>
      </c>
      <c r="C107" s="4">
        <v>12</v>
      </c>
      <c r="D107" s="49">
        <v>5</v>
      </c>
      <c r="E107" s="50" t="s">
        <v>834</v>
      </c>
      <c r="F107" s="4">
        <v>8</v>
      </c>
    </row>
    <row r="108" ht="18" customHeight="1" spans="1:6">
      <c r="A108" s="4" t="s">
        <v>719</v>
      </c>
      <c r="B108" s="31" t="s">
        <v>835</v>
      </c>
      <c r="C108" s="4">
        <v>12</v>
      </c>
      <c r="D108" s="49"/>
      <c r="E108" s="50" t="s">
        <v>836</v>
      </c>
      <c r="F108" s="4">
        <v>10</v>
      </c>
    </row>
    <row r="109" ht="18" customHeight="1" spans="1:6">
      <c r="A109" s="4" t="s">
        <v>722</v>
      </c>
      <c r="B109" s="31" t="s">
        <v>837</v>
      </c>
      <c r="C109" s="4">
        <v>12</v>
      </c>
      <c r="D109" s="49"/>
      <c r="E109" s="50" t="s">
        <v>838</v>
      </c>
      <c r="F109" s="4">
        <v>10</v>
      </c>
    </row>
    <row r="110" ht="18" customHeight="1" spans="1:6">
      <c r="A110" s="4">
        <v>19</v>
      </c>
      <c r="B110" s="31" t="s">
        <v>839</v>
      </c>
      <c r="C110" s="4">
        <v>14</v>
      </c>
      <c r="D110" s="49"/>
      <c r="E110" s="50" t="s">
        <v>840</v>
      </c>
      <c r="F110" s="4">
        <v>10</v>
      </c>
    </row>
    <row r="111" ht="18" customHeight="1" spans="1:6">
      <c r="A111" s="4">
        <v>20</v>
      </c>
      <c r="B111" s="31" t="s">
        <v>841</v>
      </c>
      <c r="C111" s="4">
        <v>16</v>
      </c>
      <c r="D111" s="49">
        <v>6</v>
      </c>
      <c r="E111" s="50" t="s">
        <v>842</v>
      </c>
      <c r="F111" s="4">
        <v>8</v>
      </c>
    </row>
    <row r="112" ht="18" customHeight="1" spans="1:6">
      <c r="A112" s="47" t="s">
        <v>843</v>
      </c>
      <c r="B112" s="48" t="s">
        <v>844</v>
      </c>
      <c r="C112" s="4"/>
      <c r="D112" s="49">
        <v>7</v>
      </c>
      <c r="E112" s="50" t="s">
        <v>845</v>
      </c>
      <c r="F112" s="4">
        <v>16</v>
      </c>
    </row>
    <row r="113" ht="18" customHeight="1" spans="1:6">
      <c r="A113" s="49">
        <v>1</v>
      </c>
      <c r="B113" s="50" t="s">
        <v>846</v>
      </c>
      <c r="C113" s="4">
        <v>18</v>
      </c>
      <c r="D113" s="49">
        <v>8</v>
      </c>
      <c r="E113" s="50" t="s">
        <v>847</v>
      </c>
      <c r="F113" s="4">
        <v>10</v>
      </c>
    </row>
    <row r="114" ht="18" customHeight="1" spans="1:6">
      <c r="A114" s="49" t="s">
        <v>713</v>
      </c>
      <c r="B114" s="50" t="s">
        <v>848</v>
      </c>
      <c r="C114" s="4">
        <v>18</v>
      </c>
      <c r="D114" s="49"/>
      <c r="E114" s="50" t="s">
        <v>849</v>
      </c>
      <c r="F114" s="4">
        <v>15</v>
      </c>
    </row>
    <row r="115" ht="18" customHeight="1" spans="1:6">
      <c r="A115" s="49" t="s">
        <v>716</v>
      </c>
      <c r="B115" s="50" t="s">
        <v>850</v>
      </c>
      <c r="C115" s="4">
        <v>18</v>
      </c>
      <c r="D115" s="49"/>
      <c r="E115" s="50" t="s">
        <v>851</v>
      </c>
      <c r="F115" s="4">
        <v>10</v>
      </c>
    </row>
    <row r="116" ht="18" customHeight="1" spans="1:6">
      <c r="A116" s="49" t="s">
        <v>719</v>
      </c>
      <c r="B116" s="50" t="s">
        <v>852</v>
      </c>
      <c r="C116" s="4">
        <v>18</v>
      </c>
      <c r="D116" s="49"/>
      <c r="E116" s="50" t="s">
        <v>853</v>
      </c>
      <c r="F116" s="4">
        <v>12</v>
      </c>
    </row>
    <row r="117" ht="18" customHeight="1" spans="1:6">
      <c r="A117" s="49" t="s">
        <v>722</v>
      </c>
      <c r="B117" s="50" t="s">
        <v>854</v>
      </c>
      <c r="C117" s="4">
        <v>18</v>
      </c>
      <c r="D117" s="49"/>
      <c r="E117" s="50" t="s">
        <v>855</v>
      </c>
      <c r="F117" s="4">
        <v>10</v>
      </c>
    </row>
    <row r="118" ht="18" customHeight="1" spans="1:6">
      <c r="A118" s="49" t="s">
        <v>725</v>
      </c>
      <c r="B118" s="50" t="s">
        <v>856</v>
      </c>
      <c r="C118" s="4">
        <v>18</v>
      </c>
      <c r="D118" s="49">
        <v>9</v>
      </c>
      <c r="E118" s="50" t="s">
        <v>857</v>
      </c>
      <c r="F118" s="4">
        <v>10</v>
      </c>
    </row>
    <row r="119" ht="18" customHeight="1" spans="1:6">
      <c r="A119" s="49" t="s">
        <v>728</v>
      </c>
      <c r="B119" s="50" t="s">
        <v>858</v>
      </c>
      <c r="C119" s="4">
        <v>15</v>
      </c>
      <c r="D119" s="49"/>
      <c r="E119" s="50" t="s">
        <v>859</v>
      </c>
      <c r="F119" s="4">
        <v>12</v>
      </c>
    </row>
    <row r="120" ht="18" customHeight="1" spans="1:6">
      <c r="A120" s="49" t="s">
        <v>731</v>
      </c>
      <c r="B120" s="50" t="s">
        <v>860</v>
      </c>
      <c r="C120" s="4">
        <v>15</v>
      </c>
      <c r="D120" s="49"/>
      <c r="E120" s="50" t="s">
        <v>861</v>
      </c>
      <c r="F120" s="4">
        <v>15</v>
      </c>
    </row>
    <row r="121" ht="18" customHeight="1" spans="1:6">
      <c r="A121" s="49" t="s">
        <v>762</v>
      </c>
      <c r="B121" s="50" t="s">
        <v>862</v>
      </c>
      <c r="C121" s="4">
        <v>18</v>
      </c>
      <c r="D121" s="49">
        <v>10</v>
      </c>
      <c r="E121" s="50" t="s">
        <v>863</v>
      </c>
      <c r="F121" s="4">
        <v>17</v>
      </c>
    </row>
    <row r="122" ht="18" customHeight="1" spans="1:6">
      <c r="A122" s="49" t="s">
        <v>765</v>
      </c>
      <c r="B122" s="50" t="s">
        <v>864</v>
      </c>
      <c r="C122" s="4">
        <v>18</v>
      </c>
      <c r="D122" s="49"/>
      <c r="E122" s="50" t="s">
        <v>865</v>
      </c>
      <c r="F122" s="4">
        <v>18</v>
      </c>
    </row>
    <row r="123" ht="18" customHeight="1" spans="1:6">
      <c r="A123" s="49" t="s">
        <v>767</v>
      </c>
      <c r="B123" s="50" t="s">
        <v>866</v>
      </c>
      <c r="C123" s="4">
        <v>15</v>
      </c>
      <c r="D123" s="49">
        <v>11</v>
      </c>
      <c r="E123" s="50" t="s">
        <v>867</v>
      </c>
      <c r="F123" s="4">
        <v>8</v>
      </c>
    </row>
    <row r="124" ht="18" customHeight="1" spans="1:6">
      <c r="A124" s="49"/>
      <c r="B124" s="50" t="s">
        <v>868</v>
      </c>
      <c r="C124" s="4">
        <v>15</v>
      </c>
      <c r="D124" s="49">
        <v>12</v>
      </c>
      <c r="E124" s="50" t="s">
        <v>869</v>
      </c>
      <c r="F124" s="4">
        <v>12</v>
      </c>
    </row>
    <row r="125" ht="18" customHeight="1" spans="1:6">
      <c r="A125" s="49">
        <v>2</v>
      </c>
      <c r="B125" s="50" t="s">
        <v>870</v>
      </c>
      <c r="C125" s="4">
        <v>15</v>
      </c>
      <c r="D125" s="49">
        <v>13</v>
      </c>
      <c r="E125" s="50" t="s">
        <v>871</v>
      </c>
      <c r="F125" s="4">
        <v>10</v>
      </c>
    </row>
    <row r="126" ht="18" customHeight="1" spans="1:6">
      <c r="A126" s="49"/>
      <c r="B126" s="50" t="s">
        <v>872</v>
      </c>
      <c r="C126" s="4">
        <v>12</v>
      </c>
      <c r="D126" s="49">
        <v>14</v>
      </c>
      <c r="E126" s="50" t="s">
        <v>873</v>
      </c>
      <c r="F126" s="4">
        <v>11</v>
      </c>
    </row>
    <row r="127" ht="18" customHeight="1" spans="1:6">
      <c r="A127" s="49"/>
      <c r="B127" s="50" t="s">
        <v>874</v>
      </c>
      <c r="C127" s="4">
        <v>18</v>
      </c>
      <c r="D127" s="49">
        <v>15</v>
      </c>
      <c r="E127" s="50" t="s">
        <v>875</v>
      </c>
      <c r="F127" s="4">
        <v>12</v>
      </c>
    </row>
    <row r="128" ht="18" customHeight="1" spans="1:6">
      <c r="A128" s="49"/>
      <c r="B128" s="50" t="s">
        <v>876</v>
      </c>
      <c r="C128" s="4">
        <v>15</v>
      </c>
      <c r="D128" s="49">
        <v>16</v>
      </c>
      <c r="E128" s="50" t="s">
        <v>877</v>
      </c>
      <c r="F128" s="4">
        <v>12</v>
      </c>
    </row>
    <row r="129" ht="18" customHeight="1" spans="1:6">
      <c r="A129" s="41" t="s">
        <v>605</v>
      </c>
      <c r="B129" s="41" t="s">
        <v>606</v>
      </c>
      <c r="C129" s="41" t="s">
        <v>607</v>
      </c>
      <c r="D129" s="41" t="s">
        <v>605</v>
      </c>
      <c r="E129" s="41" t="s">
        <v>606</v>
      </c>
      <c r="F129" s="41" t="s">
        <v>607</v>
      </c>
    </row>
    <row r="130" ht="18" customHeight="1" spans="1:6">
      <c r="A130" s="49">
        <v>17</v>
      </c>
      <c r="B130" s="50" t="s">
        <v>878</v>
      </c>
      <c r="C130" s="4">
        <v>12</v>
      </c>
      <c r="D130" s="4">
        <v>5</v>
      </c>
      <c r="E130" s="31" t="s">
        <v>879</v>
      </c>
      <c r="F130" s="4">
        <v>12</v>
      </c>
    </row>
    <row r="131" ht="18" customHeight="1" spans="1:6">
      <c r="A131" s="49">
        <v>18</v>
      </c>
      <c r="B131" s="50" t="s">
        <v>880</v>
      </c>
      <c r="C131" s="4">
        <v>12</v>
      </c>
      <c r="D131" s="4">
        <v>6</v>
      </c>
      <c r="E131" s="31" t="s">
        <v>881</v>
      </c>
      <c r="F131" s="4">
        <v>12</v>
      </c>
    </row>
    <row r="132" ht="18" customHeight="1" spans="1:6">
      <c r="A132" s="49">
        <v>19</v>
      </c>
      <c r="B132" s="50" t="s">
        <v>882</v>
      </c>
      <c r="C132" s="4">
        <v>12</v>
      </c>
      <c r="D132" s="4">
        <v>7</v>
      </c>
      <c r="E132" s="31" t="s">
        <v>883</v>
      </c>
      <c r="F132" s="4">
        <v>15</v>
      </c>
    </row>
    <row r="133" ht="18" customHeight="1" spans="1:6">
      <c r="A133" s="49">
        <v>20</v>
      </c>
      <c r="B133" s="50" t="s">
        <v>884</v>
      </c>
      <c r="C133" s="4">
        <v>11</v>
      </c>
      <c r="D133" s="47" t="s">
        <v>885</v>
      </c>
      <c r="E133" s="48" t="s">
        <v>886</v>
      </c>
      <c r="F133" s="47"/>
    </row>
    <row r="134" ht="18" customHeight="1" spans="1:6">
      <c r="A134" s="49">
        <v>21</v>
      </c>
      <c r="B134" s="50" t="s">
        <v>887</v>
      </c>
      <c r="C134" s="4">
        <v>11</v>
      </c>
      <c r="D134" s="4">
        <v>1</v>
      </c>
      <c r="E134" s="31" t="s">
        <v>888</v>
      </c>
      <c r="F134" s="4">
        <v>16</v>
      </c>
    </row>
    <row r="135" ht="18" customHeight="1" spans="1:6">
      <c r="A135" s="49">
        <v>22</v>
      </c>
      <c r="B135" s="50" t="s">
        <v>889</v>
      </c>
      <c r="C135" s="4">
        <v>12</v>
      </c>
      <c r="D135" s="4">
        <v>2</v>
      </c>
      <c r="E135" s="31" t="s">
        <v>890</v>
      </c>
      <c r="F135" s="4">
        <v>16</v>
      </c>
    </row>
    <row r="136" ht="18" customHeight="1" spans="1:6">
      <c r="A136" s="49">
        <v>23</v>
      </c>
      <c r="B136" s="50" t="s">
        <v>891</v>
      </c>
      <c r="C136" s="4">
        <v>12</v>
      </c>
      <c r="D136" s="4">
        <v>3</v>
      </c>
      <c r="E136" s="31" t="s">
        <v>892</v>
      </c>
      <c r="F136" s="4">
        <v>17</v>
      </c>
    </row>
    <row r="137" ht="18" customHeight="1" spans="1:6">
      <c r="A137" s="49">
        <v>24</v>
      </c>
      <c r="B137" s="50" t="s">
        <v>893</v>
      </c>
      <c r="C137" s="4">
        <v>12</v>
      </c>
      <c r="D137" s="4">
        <v>4</v>
      </c>
      <c r="E137" s="31" t="s">
        <v>894</v>
      </c>
      <c r="F137" s="4">
        <v>16</v>
      </c>
    </row>
    <row r="138" ht="18" customHeight="1" spans="1:6">
      <c r="A138" s="49"/>
      <c r="B138" s="50" t="s">
        <v>895</v>
      </c>
      <c r="C138" s="4">
        <v>18</v>
      </c>
      <c r="D138" s="4">
        <v>5</v>
      </c>
      <c r="E138" s="31" t="s">
        <v>896</v>
      </c>
      <c r="F138" s="4">
        <v>16</v>
      </c>
    </row>
    <row r="139" ht="18" customHeight="1" spans="1:6">
      <c r="A139" s="49">
        <v>25</v>
      </c>
      <c r="B139" s="50" t="s">
        <v>897</v>
      </c>
      <c r="C139" s="4">
        <v>12</v>
      </c>
      <c r="D139" s="4">
        <v>6</v>
      </c>
      <c r="E139" s="31" t="s">
        <v>898</v>
      </c>
      <c r="F139" s="4">
        <v>10</v>
      </c>
    </row>
    <row r="140" ht="18" customHeight="1" spans="1:6">
      <c r="A140" s="49">
        <v>26</v>
      </c>
      <c r="B140" s="50" t="s">
        <v>899</v>
      </c>
      <c r="C140" s="4">
        <v>20</v>
      </c>
      <c r="D140" s="4">
        <v>7</v>
      </c>
      <c r="E140" s="31" t="s">
        <v>900</v>
      </c>
      <c r="F140" s="4">
        <v>16</v>
      </c>
    </row>
    <row r="141" ht="18" customHeight="1" spans="1:6">
      <c r="A141" s="47" t="s">
        <v>901</v>
      </c>
      <c r="B141" s="48" t="s">
        <v>902</v>
      </c>
      <c r="C141" s="4"/>
      <c r="D141" s="4">
        <v>8</v>
      </c>
      <c r="E141" s="31" t="s">
        <v>903</v>
      </c>
      <c r="F141" s="4">
        <v>16</v>
      </c>
    </row>
    <row r="142" ht="18" customHeight="1" spans="1:6">
      <c r="A142" s="4">
        <v>1</v>
      </c>
      <c r="B142" s="31" t="s">
        <v>904</v>
      </c>
      <c r="C142" s="4">
        <v>12</v>
      </c>
      <c r="D142" s="4">
        <v>9</v>
      </c>
      <c r="E142" s="31" t="s">
        <v>905</v>
      </c>
      <c r="F142" s="4">
        <v>16</v>
      </c>
    </row>
    <row r="143" ht="18" customHeight="1" spans="1:6">
      <c r="A143" s="4"/>
      <c r="B143" s="31" t="s">
        <v>906</v>
      </c>
      <c r="C143" s="4">
        <v>10</v>
      </c>
      <c r="D143" s="4">
        <v>10</v>
      </c>
      <c r="E143" s="31" t="s">
        <v>907</v>
      </c>
      <c r="F143" s="4">
        <v>16</v>
      </c>
    </row>
    <row r="144" ht="18" customHeight="1" spans="1:6">
      <c r="A144" s="4"/>
      <c r="B144" s="31" t="s">
        <v>908</v>
      </c>
      <c r="C144" s="4">
        <v>20</v>
      </c>
      <c r="D144" s="4"/>
      <c r="E144" s="31" t="s">
        <v>909</v>
      </c>
      <c r="F144" s="4">
        <v>12</v>
      </c>
    </row>
    <row r="145" ht="18" customHeight="1" spans="1:6">
      <c r="A145" s="4">
        <v>2</v>
      </c>
      <c r="B145" s="31" t="s">
        <v>910</v>
      </c>
      <c r="C145" s="4">
        <v>10</v>
      </c>
      <c r="D145" s="4"/>
      <c r="E145" s="31" t="s">
        <v>911</v>
      </c>
      <c r="F145" s="4">
        <v>16</v>
      </c>
    </row>
    <row r="146" ht="18" customHeight="1" spans="1:6">
      <c r="A146" s="4">
        <v>3</v>
      </c>
      <c r="B146" s="31" t="s">
        <v>912</v>
      </c>
      <c r="C146" s="4">
        <v>14</v>
      </c>
      <c r="D146" s="4"/>
      <c r="E146" s="31" t="s">
        <v>913</v>
      </c>
      <c r="F146" s="4">
        <v>17</v>
      </c>
    </row>
    <row r="147" ht="18" customHeight="1" spans="1:6">
      <c r="A147" s="4">
        <v>4</v>
      </c>
      <c r="B147" s="31" t="s">
        <v>914</v>
      </c>
      <c r="C147" s="4">
        <v>14</v>
      </c>
      <c r="D147" s="4"/>
      <c r="E147" s="31" t="s">
        <v>915</v>
      </c>
      <c r="F147" s="4">
        <v>17</v>
      </c>
    </row>
    <row r="148" ht="18" customHeight="1" spans="1:6">
      <c r="A148" s="4">
        <v>5</v>
      </c>
      <c r="B148" s="31" t="s">
        <v>916</v>
      </c>
      <c r="C148" s="4">
        <v>12</v>
      </c>
      <c r="D148" s="4"/>
      <c r="E148" s="31" t="s">
        <v>917</v>
      </c>
      <c r="F148" s="4">
        <v>12</v>
      </c>
    </row>
    <row r="149" ht="18" customHeight="1" spans="1:6">
      <c r="A149" s="4">
        <v>6</v>
      </c>
      <c r="B149" s="31" t="s">
        <v>918</v>
      </c>
      <c r="C149" s="4">
        <v>14</v>
      </c>
      <c r="D149" s="4"/>
      <c r="E149" s="31" t="s">
        <v>919</v>
      </c>
      <c r="F149" s="4">
        <v>14</v>
      </c>
    </row>
    <row r="150" ht="18" customHeight="1" spans="1:6">
      <c r="A150" s="4">
        <v>7</v>
      </c>
      <c r="B150" s="31" t="s">
        <v>920</v>
      </c>
      <c r="C150" s="4">
        <v>20</v>
      </c>
      <c r="D150" s="4"/>
      <c r="E150" s="31" t="s">
        <v>921</v>
      </c>
      <c r="F150" s="4">
        <v>12</v>
      </c>
    </row>
    <row r="151" ht="18" customHeight="1" spans="1:6">
      <c r="A151" s="47" t="s">
        <v>646</v>
      </c>
      <c r="B151" s="48" t="s">
        <v>922</v>
      </c>
      <c r="C151" s="47"/>
      <c r="D151" s="4"/>
      <c r="E151" s="31" t="s">
        <v>923</v>
      </c>
      <c r="F151" s="4">
        <v>14</v>
      </c>
    </row>
    <row r="152" ht="18" customHeight="1" spans="1:6">
      <c r="A152" s="4">
        <v>1</v>
      </c>
      <c r="B152" s="31" t="s">
        <v>924</v>
      </c>
      <c r="C152" s="4">
        <v>10</v>
      </c>
      <c r="D152" s="4"/>
      <c r="E152" s="31" t="s">
        <v>925</v>
      </c>
      <c r="F152" s="4">
        <v>18</v>
      </c>
    </row>
    <row r="153" ht="18" customHeight="1" spans="1:6">
      <c r="A153" s="4">
        <v>2</v>
      </c>
      <c r="B153" s="31" t="s">
        <v>926</v>
      </c>
      <c r="C153" s="4">
        <v>12</v>
      </c>
      <c r="D153" s="47" t="s">
        <v>927</v>
      </c>
      <c r="E153" s="48" t="s">
        <v>928</v>
      </c>
      <c r="F153" s="47"/>
    </row>
    <row r="154" ht="18" customHeight="1" spans="1:6">
      <c r="A154" s="4">
        <v>3</v>
      </c>
      <c r="B154" s="31" t="s">
        <v>929</v>
      </c>
      <c r="C154" s="4">
        <v>12</v>
      </c>
      <c r="D154" s="4">
        <v>1</v>
      </c>
      <c r="E154" s="31" t="s">
        <v>930</v>
      </c>
      <c r="F154" s="4"/>
    </row>
    <row r="155" ht="18" customHeight="1" spans="1:6">
      <c r="A155" s="4">
        <v>4</v>
      </c>
      <c r="B155" s="31" t="s">
        <v>931</v>
      </c>
      <c r="C155" s="4">
        <v>6</v>
      </c>
      <c r="D155" s="4"/>
      <c r="E155" s="31" t="s">
        <v>932</v>
      </c>
      <c r="F155" s="4">
        <v>18</v>
      </c>
    </row>
    <row r="156" ht="18" customHeight="1" spans="1:6">
      <c r="A156" s="4">
        <v>5</v>
      </c>
      <c r="B156" s="31" t="s">
        <v>933</v>
      </c>
      <c r="C156" s="4">
        <v>12</v>
      </c>
      <c r="D156" s="4"/>
      <c r="E156" s="31" t="s">
        <v>934</v>
      </c>
      <c r="F156" s="4"/>
    </row>
    <row r="157" ht="18" customHeight="1" spans="1:6">
      <c r="A157" s="4">
        <v>6</v>
      </c>
      <c r="B157" s="31" t="s">
        <v>935</v>
      </c>
      <c r="C157" s="4">
        <v>12</v>
      </c>
      <c r="D157" s="4" t="s">
        <v>936</v>
      </c>
      <c r="E157" s="31" t="s">
        <v>937</v>
      </c>
      <c r="F157" s="4">
        <v>16</v>
      </c>
    </row>
    <row r="158" ht="18" customHeight="1" spans="1:6">
      <c r="A158" s="4">
        <v>7</v>
      </c>
      <c r="B158" s="31" t="s">
        <v>938</v>
      </c>
      <c r="C158" s="4">
        <v>12</v>
      </c>
      <c r="D158" s="4"/>
      <c r="E158" s="31" t="s">
        <v>939</v>
      </c>
      <c r="F158" s="4">
        <v>18</v>
      </c>
    </row>
    <row r="159" ht="18" customHeight="1" spans="1:6">
      <c r="A159" s="4">
        <v>8</v>
      </c>
      <c r="B159" s="31" t="s">
        <v>940</v>
      </c>
      <c r="C159" s="4">
        <v>14</v>
      </c>
      <c r="D159" s="4"/>
      <c r="E159" s="31" t="s">
        <v>941</v>
      </c>
      <c r="F159" s="4">
        <v>16</v>
      </c>
    </row>
    <row r="160" ht="18" customHeight="1" spans="1:6">
      <c r="A160" s="4">
        <v>9</v>
      </c>
      <c r="B160" s="31" t="s">
        <v>942</v>
      </c>
      <c r="C160" s="4">
        <v>14</v>
      </c>
      <c r="D160" s="4"/>
      <c r="E160" s="31" t="s">
        <v>943</v>
      </c>
      <c r="F160" s="4">
        <v>16</v>
      </c>
    </row>
    <row r="161" ht="18" customHeight="1" spans="1:6">
      <c r="A161" s="47" t="s">
        <v>944</v>
      </c>
      <c r="B161" s="48" t="s">
        <v>945</v>
      </c>
      <c r="C161" s="47"/>
      <c r="D161" s="4">
        <v>2</v>
      </c>
      <c r="E161" s="31" t="s">
        <v>946</v>
      </c>
      <c r="F161" s="4"/>
    </row>
    <row r="162" ht="18" customHeight="1" spans="1:6">
      <c r="A162" s="4">
        <v>1</v>
      </c>
      <c r="B162" s="31" t="s">
        <v>947</v>
      </c>
      <c r="C162" s="4" t="s">
        <v>776</v>
      </c>
      <c r="D162" s="4"/>
      <c r="E162" s="31" t="s">
        <v>948</v>
      </c>
      <c r="F162" s="4" t="s">
        <v>949</v>
      </c>
    </row>
    <row r="163" ht="18" customHeight="1" spans="1:6">
      <c r="A163" s="4"/>
      <c r="B163" s="31" t="s">
        <v>950</v>
      </c>
      <c r="C163" s="4">
        <v>15</v>
      </c>
      <c r="D163" s="4"/>
      <c r="E163" s="31" t="s">
        <v>951</v>
      </c>
      <c r="F163" s="4">
        <v>18</v>
      </c>
    </row>
    <row r="164" ht="18" customHeight="1" spans="1:6">
      <c r="A164" s="4"/>
      <c r="B164" s="31" t="s">
        <v>952</v>
      </c>
      <c r="C164" s="4">
        <v>12</v>
      </c>
      <c r="D164" s="4"/>
      <c r="E164" s="31" t="s">
        <v>953</v>
      </c>
      <c r="F164" s="4">
        <v>12</v>
      </c>
    </row>
    <row r="165" ht="18" customHeight="1" spans="1:6">
      <c r="A165" s="4">
        <v>2</v>
      </c>
      <c r="B165" s="31" t="s">
        <v>954</v>
      </c>
      <c r="C165" s="4">
        <v>15</v>
      </c>
      <c r="D165" s="4"/>
      <c r="E165" s="31" t="s">
        <v>955</v>
      </c>
      <c r="F165" s="4">
        <v>14</v>
      </c>
    </row>
    <row r="166" ht="18" customHeight="1" spans="1:6">
      <c r="A166" s="4"/>
      <c r="B166" s="31" t="s">
        <v>956</v>
      </c>
      <c r="C166" s="4">
        <v>13</v>
      </c>
      <c r="D166" s="4">
        <v>3</v>
      </c>
      <c r="E166" s="31" t="s">
        <v>957</v>
      </c>
      <c r="F166" s="4">
        <v>14</v>
      </c>
    </row>
    <row r="167" ht="18" customHeight="1" spans="1:6">
      <c r="A167" s="4">
        <v>3</v>
      </c>
      <c r="B167" s="31" t="s">
        <v>958</v>
      </c>
      <c r="C167" s="4">
        <v>14</v>
      </c>
      <c r="D167" s="4">
        <v>4</v>
      </c>
      <c r="E167" s="31" t="s">
        <v>959</v>
      </c>
      <c r="F167" s="4">
        <v>14</v>
      </c>
    </row>
    <row r="168" ht="18" customHeight="1" spans="1:6">
      <c r="A168" s="4"/>
      <c r="B168" s="31" t="s">
        <v>960</v>
      </c>
      <c r="C168" s="4">
        <v>13</v>
      </c>
      <c r="D168" s="4"/>
      <c r="E168" s="31" t="s">
        <v>961</v>
      </c>
      <c r="F168" s="4">
        <v>12</v>
      </c>
    </row>
    <row r="169" ht="18" customHeight="1" spans="1:6">
      <c r="A169" s="4"/>
      <c r="B169" s="31" t="s">
        <v>962</v>
      </c>
      <c r="C169" s="4">
        <v>8</v>
      </c>
      <c r="D169" s="4">
        <v>5</v>
      </c>
      <c r="E169" s="31" t="s">
        <v>963</v>
      </c>
      <c r="F169" s="4"/>
    </row>
    <row r="170" ht="18" customHeight="1" spans="1:6">
      <c r="A170" s="4">
        <v>4</v>
      </c>
      <c r="B170" s="31" t="s">
        <v>964</v>
      </c>
      <c r="C170" s="4">
        <v>14</v>
      </c>
      <c r="D170" s="4"/>
      <c r="E170" s="31" t="s">
        <v>965</v>
      </c>
      <c r="F170" s="4"/>
    </row>
    <row r="171" ht="18" customHeight="1" spans="1:6">
      <c r="A171" s="4"/>
      <c r="B171" s="31" t="s">
        <v>966</v>
      </c>
      <c r="C171" s="4">
        <v>12</v>
      </c>
      <c r="D171" s="4">
        <v>6</v>
      </c>
      <c r="E171" s="31" t="s">
        <v>967</v>
      </c>
      <c r="F171" s="4">
        <v>14</v>
      </c>
    </row>
    <row r="172" ht="18" customHeight="1" spans="1:6">
      <c r="A172" s="41" t="s">
        <v>605</v>
      </c>
      <c r="B172" s="41" t="s">
        <v>606</v>
      </c>
      <c r="C172" s="41" t="s">
        <v>607</v>
      </c>
      <c r="D172" s="41" t="s">
        <v>605</v>
      </c>
      <c r="E172" s="41" t="s">
        <v>606</v>
      </c>
      <c r="F172" s="41" t="s">
        <v>607</v>
      </c>
    </row>
    <row r="173" ht="18" customHeight="1" spans="1:6">
      <c r="A173" s="4"/>
      <c r="B173" s="31" t="s">
        <v>968</v>
      </c>
      <c r="C173" s="4">
        <v>10</v>
      </c>
      <c r="D173" s="4">
        <v>5</v>
      </c>
      <c r="E173" s="31" t="s">
        <v>969</v>
      </c>
      <c r="F173" s="4">
        <v>20</v>
      </c>
    </row>
    <row r="174" ht="18" customHeight="1" spans="1:6">
      <c r="A174" s="4">
        <v>7</v>
      </c>
      <c r="B174" s="31" t="s">
        <v>970</v>
      </c>
      <c r="C174" s="4"/>
      <c r="D174" s="4">
        <v>6</v>
      </c>
      <c r="E174" s="31" t="s">
        <v>971</v>
      </c>
      <c r="F174" s="4">
        <v>12</v>
      </c>
    </row>
    <row r="175" ht="18" customHeight="1" spans="1:6">
      <c r="A175" s="4"/>
      <c r="B175" s="31" t="s">
        <v>972</v>
      </c>
      <c r="C175" s="4">
        <v>16</v>
      </c>
      <c r="D175" s="4">
        <v>7</v>
      </c>
      <c r="E175" s="31" t="s">
        <v>973</v>
      </c>
      <c r="F175" s="4">
        <v>15</v>
      </c>
    </row>
    <row r="176" ht="18" customHeight="1" spans="1:6">
      <c r="A176" s="4"/>
      <c r="B176" s="31" t="s">
        <v>974</v>
      </c>
      <c r="C176" s="4">
        <v>16</v>
      </c>
      <c r="D176" s="4">
        <v>8</v>
      </c>
      <c r="E176" s="31" t="s">
        <v>975</v>
      </c>
      <c r="F176" s="4">
        <v>10</v>
      </c>
    </row>
    <row r="177" ht="18" customHeight="1" spans="1:6">
      <c r="A177" s="4"/>
      <c r="B177" s="31" t="s">
        <v>976</v>
      </c>
      <c r="C177" s="4">
        <v>16</v>
      </c>
      <c r="D177" s="4">
        <v>9</v>
      </c>
      <c r="E177" s="31" t="s">
        <v>977</v>
      </c>
      <c r="F177" s="4">
        <v>20</v>
      </c>
    </row>
    <row r="178" ht="18" customHeight="1" spans="1:6">
      <c r="A178" s="4">
        <v>8</v>
      </c>
      <c r="B178" s="31" t="s">
        <v>978</v>
      </c>
      <c r="C178" s="4">
        <v>16</v>
      </c>
      <c r="D178" s="47" t="s">
        <v>979</v>
      </c>
      <c r="E178" s="48" t="s">
        <v>980</v>
      </c>
      <c r="F178" s="47"/>
    </row>
    <row r="179" ht="18" customHeight="1" spans="1:6">
      <c r="A179" s="4">
        <v>9</v>
      </c>
      <c r="B179" s="31" t="s">
        <v>981</v>
      </c>
      <c r="C179" s="4">
        <v>16</v>
      </c>
      <c r="D179" s="4">
        <v>1</v>
      </c>
      <c r="E179" s="31" t="s">
        <v>982</v>
      </c>
      <c r="F179" s="4">
        <v>10</v>
      </c>
    </row>
    <row r="180" ht="18" customHeight="1" spans="1:6">
      <c r="A180" s="4">
        <v>10</v>
      </c>
      <c r="B180" s="31" t="s">
        <v>983</v>
      </c>
      <c r="C180" s="4">
        <v>13</v>
      </c>
      <c r="D180" s="4">
        <v>2</v>
      </c>
      <c r="E180" s="31" t="s">
        <v>984</v>
      </c>
      <c r="F180" s="4">
        <v>15</v>
      </c>
    </row>
    <row r="181" ht="18" customHeight="1" spans="1:6">
      <c r="A181" s="4">
        <v>11</v>
      </c>
      <c r="B181" s="31" t="s">
        <v>985</v>
      </c>
      <c r="C181" s="4">
        <v>14</v>
      </c>
      <c r="D181" s="4">
        <v>3</v>
      </c>
      <c r="E181" s="31" t="s">
        <v>986</v>
      </c>
      <c r="F181" s="4">
        <v>15</v>
      </c>
    </row>
    <row r="182" ht="18" customHeight="1" spans="1:6">
      <c r="A182" s="4">
        <v>12</v>
      </c>
      <c r="B182" s="31" t="s">
        <v>987</v>
      </c>
      <c r="C182" s="4">
        <v>13</v>
      </c>
      <c r="D182" s="4">
        <v>4</v>
      </c>
      <c r="E182" s="31" t="s">
        <v>988</v>
      </c>
      <c r="F182" s="4">
        <v>12</v>
      </c>
    </row>
    <row r="183" ht="18" customHeight="1" spans="1:6">
      <c r="A183" s="4">
        <v>13</v>
      </c>
      <c r="B183" s="31" t="s">
        <v>989</v>
      </c>
      <c r="C183" s="4">
        <v>13</v>
      </c>
      <c r="D183" s="4"/>
      <c r="E183" s="31" t="s">
        <v>990</v>
      </c>
      <c r="F183" s="4">
        <v>8</v>
      </c>
    </row>
    <row r="184" ht="18" customHeight="1" spans="1:6">
      <c r="A184" s="4">
        <v>14</v>
      </c>
      <c r="B184" s="31" t="s">
        <v>991</v>
      </c>
      <c r="C184" s="4">
        <v>13</v>
      </c>
      <c r="D184" s="4">
        <v>5</v>
      </c>
      <c r="E184" s="31" t="s">
        <v>992</v>
      </c>
      <c r="F184" s="4">
        <v>10</v>
      </c>
    </row>
    <row r="185" ht="18" customHeight="1" spans="1:6">
      <c r="A185" s="4">
        <v>15</v>
      </c>
      <c r="B185" s="31" t="s">
        <v>993</v>
      </c>
      <c r="C185" s="4">
        <v>14</v>
      </c>
      <c r="D185" s="4">
        <v>6</v>
      </c>
      <c r="E185" s="31" t="s">
        <v>994</v>
      </c>
      <c r="F185" s="4">
        <v>10</v>
      </c>
    </row>
    <row r="186" ht="18" customHeight="1" spans="1:6">
      <c r="A186" s="4"/>
      <c r="B186" s="31" t="s">
        <v>995</v>
      </c>
      <c r="C186" s="4">
        <v>16</v>
      </c>
      <c r="D186" s="4">
        <v>7</v>
      </c>
      <c r="E186" s="31" t="s">
        <v>996</v>
      </c>
      <c r="F186" s="4">
        <v>10</v>
      </c>
    </row>
    <row r="187" ht="18" customHeight="1" spans="1:6">
      <c r="A187" s="4"/>
      <c r="B187" s="31" t="s">
        <v>997</v>
      </c>
      <c r="C187" s="4">
        <v>14</v>
      </c>
      <c r="D187" s="47" t="s">
        <v>998</v>
      </c>
      <c r="E187" s="48" t="s">
        <v>999</v>
      </c>
      <c r="F187" s="47"/>
    </row>
    <row r="188" ht="18" customHeight="1" spans="1:6">
      <c r="A188" s="4">
        <v>16</v>
      </c>
      <c r="B188" s="31" t="s">
        <v>1000</v>
      </c>
      <c r="C188" s="4">
        <v>14</v>
      </c>
      <c r="D188" s="4">
        <v>1</v>
      </c>
      <c r="E188" s="31" t="s">
        <v>1001</v>
      </c>
      <c r="F188" s="4"/>
    </row>
    <row r="189" ht="18" customHeight="1" spans="1:6">
      <c r="A189" s="4">
        <v>17</v>
      </c>
      <c r="B189" s="31" t="s">
        <v>1002</v>
      </c>
      <c r="C189" s="4">
        <v>14</v>
      </c>
      <c r="D189" s="4"/>
      <c r="E189" s="31" t="s">
        <v>1003</v>
      </c>
      <c r="F189" s="4">
        <v>8</v>
      </c>
    </row>
    <row r="190" ht="18" customHeight="1" spans="1:6">
      <c r="A190" s="4"/>
      <c r="B190" s="31" t="s">
        <v>1004</v>
      </c>
      <c r="C190" s="4">
        <v>10</v>
      </c>
      <c r="D190" s="4">
        <v>2</v>
      </c>
      <c r="E190" s="31" t="s">
        <v>1005</v>
      </c>
      <c r="F190" s="4">
        <v>10</v>
      </c>
    </row>
    <row r="191" ht="18" customHeight="1" spans="1:6">
      <c r="A191" s="4">
        <v>18</v>
      </c>
      <c r="B191" s="31" t="s">
        <v>1006</v>
      </c>
      <c r="C191" s="4">
        <v>10</v>
      </c>
      <c r="D191" s="4"/>
      <c r="E191" s="31" t="s">
        <v>1007</v>
      </c>
      <c r="F191" s="4">
        <v>5</v>
      </c>
    </row>
    <row r="192" ht="18" customHeight="1" spans="1:6">
      <c r="A192" s="4"/>
      <c r="B192" s="31" t="s">
        <v>1008</v>
      </c>
      <c r="C192" s="4">
        <v>12</v>
      </c>
      <c r="D192" s="4"/>
      <c r="E192" s="31" t="s">
        <v>1009</v>
      </c>
      <c r="F192" s="4">
        <v>7</v>
      </c>
    </row>
    <row r="193" ht="18" customHeight="1" spans="1:6">
      <c r="A193" s="4"/>
      <c r="B193" s="31" t="s">
        <v>1010</v>
      </c>
      <c r="C193" s="4">
        <v>14</v>
      </c>
      <c r="D193" s="4"/>
      <c r="E193" s="31" t="s">
        <v>1011</v>
      </c>
      <c r="F193" s="4">
        <v>7</v>
      </c>
    </row>
    <row r="194" ht="18" customHeight="1" spans="1:6">
      <c r="A194" s="4">
        <v>19</v>
      </c>
      <c r="B194" s="31" t="s">
        <v>1012</v>
      </c>
      <c r="C194" s="4"/>
      <c r="D194" s="4"/>
      <c r="E194" s="31" t="s">
        <v>1013</v>
      </c>
      <c r="F194" s="4">
        <v>10</v>
      </c>
    </row>
    <row r="195" ht="18" customHeight="1" spans="1:6">
      <c r="A195" s="4"/>
      <c r="B195" s="31" t="s">
        <v>1014</v>
      </c>
      <c r="C195" s="4">
        <v>18</v>
      </c>
      <c r="D195" s="4"/>
      <c r="E195" s="31" t="s">
        <v>1015</v>
      </c>
      <c r="F195" s="4">
        <v>10</v>
      </c>
    </row>
    <row r="196" ht="18" customHeight="1" spans="1:6">
      <c r="A196" s="4"/>
      <c r="B196" s="31" t="s">
        <v>1016</v>
      </c>
      <c r="C196" s="4">
        <v>18</v>
      </c>
      <c r="D196" s="4">
        <v>3</v>
      </c>
      <c r="E196" s="31" t="s">
        <v>1017</v>
      </c>
      <c r="F196" s="4">
        <v>18</v>
      </c>
    </row>
    <row r="197" ht="18" customHeight="1" spans="1:6">
      <c r="A197" s="4">
        <v>20</v>
      </c>
      <c r="B197" s="31" t="s">
        <v>1018</v>
      </c>
      <c r="C197" s="4"/>
      <c r="D197" s="4">
        <v>4</v>
      </c>
      <c r="E197" s="31" t="s">
        <v>1019</v>
      </c>
      <c r="F197" s="4">
        <v>16</v>
      </c>
    </row>
    <row r="198" ht="18" customHeight="1" spans="1:6">
      <c r="A198" s="4"/>
      <c r="B198" s="31" t="s">
        <v>1020</v>
      </c>
      <c r="C198" s="4">
        <v>10</v>
      </c>
      <c r="D198" s="4">
        <v>5</v>
      </c>
      <c r="E198" s="31" t="s">
        <v>1021</v>
      </c>
      <c r="F198" s="4">
        <v>18</v>
      </c>
    </row>
    <row r="199" ht="18" customHeight="1" spans="1:6">
      <c r="A199" s="4"/>
      <c r="B199" s="31" t="s">
        <v>1022</v>
      </c>
      <c r="C199" s="4">
        <v>11</v>
      </c>
      <c r="D199" s="4">
        <v>6</v>
      </c>
      <c r="E199" s="31" t="s">
        <v>1023</v>
      </c>
      <c r="F199" s="4">
        <v>15</v>
      </c>
    </row>
    <row r="200" ht="18" customHeight="1" spans="1:6">
      <c r="A200" s="4">
        <v>21</v>
      </c>
      <c r="B200" s="31" t="s">
        <v>1024</v>
      </c>
      <c r="C200" s="4">
        <v>14</v>
      </c>
      <c r="D200" s="4">
        <v>7</v>
      </c>
      <c r="E200" s="31" t="s">
        <v>1025</v>
      </c>
      <c r="F200" s="4">
        <v>18</v>
      </c>
    </row>
    <row r="201" ht="18" customHeight="1" spans="1:6">
      <c r="A201" s="4">
        <v>22</v>
      </c>
      <c r="B201" s="31" t="s">
        <v>1026</v>
      </c>
      <c r="C201" s="4"/>
      <c r="D201" s="47" t="s">
        <v>1027</v>
      </c>
      <c r="E201" s="48" t="s">
        <v>1028</v>
      </c>
      <c r="F201" s="47"/>
    </row>
    <row r="202" ht="18" customHeight="1" spans="1:6">
      <c r="A202" s="4"/>
      <c r="B202" s="31" t="s">
        <v>1029</v>
      </c>
      <c r="C202" s="4">
        <v>20</v>
      </c>
      <c r="D202" s="4">
        <v>1</v>
      </c>
      <c r="E202" s="31" t="s">
        <v>1030</v>
      </c>
      <c r="F202" s="4">
        <v>30</v>
      </c>
    </row>
    <row r="203" ht="18" customHeight="1" spans="1:6">
      <c r="A203" s="4"/>
      <c r="B203" s="31" t="s">
        <v>1031</v>
      </c>
      <c r="C203" s="4">
        <v>15</v>
      </c>
      <c r="D203" s="4">
        <v>2</v>
      </c>
      <c r="E203" s="31" t="s">
        <v>1032</v>
      </c>
      <c r="F203" s="4">
        <v>25</v>
      </c>
    </row>
    <row r="204" ht="18" customHeight="1" spans="1:6">
      <c r="A204" s="4"/>
      <c r="B204" s="31" t="s">
        <v>1033</v>
      </c>
      <c r="C204" s="4">
        <v>20</v>
      </c>
      <c r="D204" s="4">
        <v>3</v>
      </c>
      <c r="E204" s="31" t="s">
        <v>1034</v>
      </c>
      <c r="F204" s="4">
        <v>20</v>
      </c>
    </row>
    <row r="205" ht="18" customHeight="1" spans="1:6">
      <c r="A205" s="4"/>
      <c r="B205" s="31" t="s">
        <v>1035</v>
      </c>
      <c r="C205" s="4">
        <v>10</v>
      </c>
      <c r="D205" s="4">
        <v>4</v>
      </c>
      <c r="E205" s="31" t="s">
        <v>1036</v>
      </c>
      <c r="F205" s="4">
        <v>30</v>
      </c>
    </row>
    <row r="206" ht="18" customHeight="1" spans="1:6">
      <c r="A206" s="4"/>
      <c r="B206" s="31" t="s">
        <v>1037</v>
      </c>
      <c r="C206" s="4">
        <v>20</v>
      </c>
      <c r="D206" s="47" t="s">
        <v>1038</v>
      </c>
      <c r="E206" s="48" t="s">
        <v>1039</v>
      </c>
      <c r="F206" s="47"/>
    </row>
    <row r="207" ht="18" customHeight="1" spans="1:6">
      <c r="A207" s="4"/>
      <c r="B207" s="31" t="s">
        <v>1040</v>
      </c>
      <c r="C207" s="4">
        <v>20</v>
      </c>
      <c r="D207" s="4">
        <v>1</v>
      </c>
      <c r="E207" s="31" t="s">
        <v>1041</v>
      </c>
      <c r="F207" s="4">
        <v>18</v>
      </c>
    </row>
    <row r="208" ht="18" customHeight="1" spans="1:6">
      <c r="A208" s="4"/>
      <c r="B208" s="31" t="s">
        <v>1042</v>
      </c>
      <c r="C208" s="4">
        <v>20</v>
      </c>
      <c r="D208" s="4"/>
      <c r="E208" s="31" t="s">
        <v>1043</v>
      </c>
      <c r="F208" s="4">
        <v>20</v>
      </c>
    </row>
    <row r="209" ht="18" customHeight="1" spans="1:6">
      <c r="A209" s="4">
        <v>23</v>
      </c>
      <c r="B209" s="31" t="s">
        <v>1044</v>
      </c>
      <c r="C209" s="4">
        <v>20</v>
      </c>
      <c r="D209" s="4">
        <v>2</v>
      </c>
      <c r="E209" s="31" t="s">
        <v>1045</v>
      </c>
      <c r="F209" s="4">
        <v>20</v>
      </c>
    </row>
    <row r="210" ht="18" customHeight="1" spans="1:6">
      <c r="A210" s="47" t="s">
        <v>1046</v>
      </c>
      <c r="B210" s="48" t="s">
        <v>1047</v>
      </c>
      <c r="C210" s="47" t="s">
        <v>1048</v>
      </c>
      <c r="D210" s="4">
        <v>3</v>
      </c>
      <c r="E210" s="31" t="s">
        <v>1049</v>
      </c>
      <c r="F210" s="4">
        <v>10</v>
      </c>
    </row>
    <row r="211" ht="18" customHeight="1" spans="1:6">
      <c r="A211" s="4">
        <v>1</v>
      </c>
      <c r="B211" s="31" t="s">
        <v>1050</v>
      </c>
      <c r="C211" s="4">
        <v>15</v>
      </c>
      <c r="D211" s="4">
        <v>4</v>
      </c>
      <c r="E211" s="31" t="s">
        <v>1051</v>
      </c>
      <c r="F211" s="4">
        <v>18</v>
      </c>
    </row>
    <row r="212" ht="18" customHeight="1" spans="1:6">
      <c r="A212" s="4">
        <v>2</v>
      </c>
      <c r="B212" s="31" t="s">
        <v>1052</v>
      </c>
      <c r="C212" s="4">
        <v>18</v>
      </c>
      <c r="D212" s="4">
        <v>5</v>
      </c>
      <c r="E212" s="31" t="s">
        <v>1053</v>
      </c>
      <c r="F212" s="4">
        <v>20</v>
      </c>
    </row>
    <row r="213" ht="18" customHeight="1" spans="1:6">
      <c r="A213" s="4">
        <v>3</v>
      </c>
      <c r="B213" s="31" t="s">
        <v>1054</v>
      </c>
      <c r="C213" s="4">
        <v>10</v>
      </c>
      <c r="D213" s="4">
        <v>6</v>
      </c>
      <c r="E213" s="31" t="s">
        <v>1055</v>
      </c>
      <c r="F213" s="4">
        <v>20</v>
      </c>
    </row>
    <row r="214" ht="18" customHeight="1" spans="1:6">
      <c r="A214" s="4">
        <v>4</v>
      </c>
      <c r="B214" s="31" t="s">
        <v>1056</v>
      </c>
      <c r="C214" s="4">
        <v>15</v>
      </c>
      <c r="D214" s="4">
        <v>7</v>
      </c>
      <c r="E214" s="31" t="s">
        <v>1057</v>
      </c>
      <c r="F214" s="4">
        <v>18</v>
      </c>
    </row>
    <row r="215" ht="18" customHeight="1" spans="1:6">
      <c r="A215" s="41" t="s">
        <v>605</v>
      </c>
      <c r="B215" s="41" t="s">
        <v>606</v>
      </c>
      <c r="C215" s="41" t="s">
        <v>607</v>
      </c>
      <c r="D215" s="41" t="s">
        <v>605</v>
      </c>
      <c r="E215" s="41" t="s">
        <v>606</v>
      </c>
      <c r="F215" s="41" t="s">
        <v>607</v>
      </c>
    </row>
    <row r="216" ht="18" customHeight="1" spans="1:6">
      <c r="A216" s="4">
        <v>8</v>
      </c>
      <c r="B216" s="31" t="s">
        <v>1058</v>
      </c>
      <c r="C216" s="4">
        <v>20</v>
      </c>
      <c r="D216" s="4">
        <v>3</v>
      </c>
      <c r="E216" s="31" t="s">
        <v>1059</v>
      </c>
      <c r="F216" s="4">
        <v>15</v>
      </c>
    </row>
    <row r="217" ht="18" customHeight="1" spans="1:6">
      <c r="A217" s="47" t="s">
        <v>1060</v>
      </c>
      <c r="B217" s="48" t="s">
        <v>1061</v>
      </c>
      <c r="C217" s="47"/>
      <c r="D217" s="4">
        <v>4</v>
      </c>
      <c r="E217" s="31" t="s">
        <v>1062</v>
      </c>
      <c r="F217" s="4">
        <v>50</v>
      </c>
    </row>
    <row r="218" ht="18" customHeight="1" spans="1:6">
      <c r="A218" s="4">
        <v>1</v>
      </c>
      <c r="B218" s="31" t="s">
        <v>1063</v>
      </c>
      <c r="C218" s="4"/>
      <c r="D218" s="47" t="s">
        <v>1064</v>
      </c>
      <c r="E218" s="48" t="s">
        <v>1065</v>
      </c>
      <c r="F218" s="47"/>
    </row>
    <row r="219" ht="18" customHeight="1" spans="1:6">
      <c r="A219" s="4"/>
      <c r="B219" s="31" t="s">
        <v>1066</v>
      </c>
      <c r="C219" s="4">
        <v>20</v>
      </c>
      <c r="D219" s="4">
        <v>1</v>
      </c>
      <c r="E219" s="31" t="s">
        <v>1067</v>
      </c>
      <c r="F219" s="4">
        <v>8</v>
      </c>
    </row>
    <row r="220" ht="18" customHeight="1" spans="1:6">
      <c r="A220" s="4"/>
      <c r="B220" s="31" t="s">
        <v>1068</v>
      </c>
      <c r="C220" s="4">
        <v>20</v>
      </c>
      <c r="D220" s="4">
        <v>2</v>
      </c>
      <c r="E220" s="31" t="s">
        <v>1069</v>
      </c>
      <c r="F220" s="4">
        <v>20</v>
      </c>
    </row>
    <row r="221" ht="18" customHeight="1" spans="1:6">
      <c r="A221" s="4"/>
      <c r="B221" s="31" t="s">
        <v>1070</v>
      </c>
      <c r="C221" s="4">
        <v>20</v>
      </c>
      <c r="D221" s="4">
        <v>3</v>
      </c>
      <c r="E221" s="31" t="s">
        <v>1071</v>
      </c>
      <c r="F221" s="4">
        <v>16</v>
      </c>
    </row>
    <row r="222" ht="18" customHeight="1" spans="1:6">
      <c r="A222" s="4">
        <v>2</v>
      </c>
      <c r="B222" s="31" t="s">
        <v>1072</v>
      </c>
      <c r="C222" s="4">
        <v>20</v>
      </c>
      <c r="D222" s="4">
        <v>4</v>
      </c>
      <c r="E222" s="31" t="s">
        <v>1073</v>
      </c>
      <c r="F222" s="4">
        <v>10</v>
      </c>
    </row>
    <row r="223" ht="18" customHeight="1" spans="1:6">
      <c r="A223" s="4">
        <v>3</v>
      </c>
      <c r="B223" s="31" t="s">
        <v>1074</v>
      </c>
      <c r="C223" s="4">
        <v>20</v>
      </c>
      <c r="D223" s="4">
        <v>5</v>
      </c>
      <c r="E223" s="31" t="s">
        <v>1075</v>
      </c>
      <c r="F223" s="4">
        <v>16</v>
      </c>
    </row>
    <row r="224" ht="18" customHeight="1" spans="1:6">
      <c r="A224" s="4">
        <v>4</v>
      </c>
      <c r="B224" s="31" t="s">
        <v>1076</v>
      </c>
      <c r="C224" s="4">
        <v>25</v>
      </c>
      <c r="D224" s="4">
        <v>6</v>
      </c>
      <c r="E224" s="31" t="s">
        <v>1077</v>
      </c>
      <c r="F224" s="4">
        <v>20</v>
      </c>
    </row>
    <row r="225" ht="18" customHeight="1" spans="1:6">
      <c r="A225" s="4"/>
      <c r="B225" s="31" t="s">
        <v>1078</v>
      </c>
      <c r="C225" s="4">
        <v>10</v>
      </c>
      <c r="D225" s="47" t="s">
        <v>1079</v>
      </c>
      <c r="E225" s="48" t="s">
        <v>1080</v>
      </c>
      <c r="F225" s="47"/>
    </row>
    <row r="226" ht="18" customHeight="1" spans="1:6">
      <c r="A226" s="4">
        <v>5</v>
      </c>
      <c r="B226" s="31" t="s">
        <v>1081</v>
      </c>
      <c r="C226" s="4">
        <v>50</v>
      </c>
      <c r="D226" s="4">
        <v>1</v>
      </c>
      <c r="E226" s="31" t="s">
        <v>1082</v>
      </c>
      <c r="F226" s="4">
        <v>16</v>
      </c>
    </row>
    <row r="227" ht="18" customHeight="1" spans="1:6">
      <c r="A227" s="4">
        <v>6</v>
      </c>
      <c r="B227" s="31" t="s">
        <v>1083</v>
      </c>
      <c r="C227" s="4"/>
      <c r="D227" s="4">
        <v>2</v>
      </c>
      <c r="E227" s="31" t="s">
        <v>1084</v>
      </c>
      <c r="F227" s="4">
        <v>18</v>
      </c>
    </row>
    <row r="228" ht="18" customHeight="1" spans="1:6">
      <c r="A228" s="4"/>
      <c r="B228" s="31" t="s">
        <v>1085</v>
      </c>
      <c r="C228" s="4">
        <v>15</v>
      </c>
      <c r="D228" s="4">
        <v>3</v>
      </c>
      <c r="E228" s="31" t="s">
        <v>1086</v>
      </c>
      <c r="F228" s="4">
        <v>16</v>
      </c>
    </row>
    <row r="229" ht="18" customHeight="1" spans="1:6">
      <c r="A229" s="4"/>
      <c r="B229" s="31" t="s">
        <v>1087</v>
      </c>
      <c r="C229" s="4">
        <v>10</v>
      </c>
      <c r="D229" s="4">
        <v>4</v>
      </c>
      <c r="E229" s="31" t="s">
        <v>1088</v>
      </c>
      <c r="F229" s="4">
        <v>10</v>
      </c>
    </row>
    <row r="230" ht="18" customHeight="1" spans="1:6">
      <c r="A230" s="4">
        <v>7</v>
      </c>
      <c r="B230" s="31" t="s">
        <v>1089</v>
      </c>
      <c r="C230" s="4"/>
      <c r="D230" s="4">
        <v>5</v>
      </c>
      <c r="E230" s="31" t="s">
        <v>1090</v>
      </c>
      <c r="F230" s="4">
        <v>16</v>
      </c>
    </row>
    <row r="231" ht="18" customHeight="1" spans="1:6">
      <c r="A231" s="4"/>
      <c r="B231" s="31" t="s">
        <v>1091</v>
      </c>
      <c r="C231" s="4">
        <v>10</v>
      </c>
      <c r="D231" s="4">
        <v>6</v>
      </c>
      <c r="E231" s="31" t="s">
        <v>1092</v>
      </c>
      <c r="F231" s="4">
        <v>15</v>
      </c>
    </row>
    <row r="232" ht="18" customHeight="1" spans="1:6">
      <c r="A232" s="4"/>
      <c r="B232" s="31" t="s">
        <v>1093</v>
      </c>
      <c r="C232" s="4">
        <v>6</v>
      </c>
      <c r="D232" s="4">
        <v>7</v>
      </c>
      <c r="E232" s="31" t="s">
        <v>1094</v>
      </c>
      <c r="F232" s="4">
        <v>18</v>
      </c>
    </row>
    <row r="233" ht="18" customHeight="1" spans="1:6">
      <c r="A233" s="4"/>
      <c r="B233" s="31" t="s">
        <v>1095</v>
      </c>
      <c r="C233" s="4">
        <v>7</v>
      </c>
      <c r="D233" s="4"/>
      <c r="E233" s="31" t="s">
        <v>340</v>
      </c>
      <c r="F233" s="4"/>
    </row>
    <row r="234" ht="18" customHeight="1" spans="1:6">
      <c r="A234" s="4"/>
      <c r="B234" s="31" t="s">
        <v>1096</v>
      </c>
      <c r="C234" s="4">
        <v>6</v>
      </c>
      <c r="D234" s="47" t="s">
        <v>1097</v>
      </c>
      <c r="E234" s="48" t="s">
        <v>1098</v>
      </c>
      <c r="F234" s="47"/>
    </row>
    <row r="235" ht="18" customHeight="1" spans="1:6">
      <c r="A235" s="4"/>
      <c r="B235" s="31" t="s">
        <v>1099</v>
      </c>
      <c r="C235" s="4">
        <v>10</v>
      </c>
      <c r="D235" s="4">
        <v>1</v>
      </c>
      <c r="E235" s="31" t="s">
        <v>1100</v>
      </c>
      <c r="F235" s="4">
        <v>16</v>
      </c>
    </row>
    <row r="236" ht="18" customHeight="1" spans="1:6">
      <c r="A236" s="4"/>
      <c r="B236" s="31" t="s">
        <v>1101</v>
      </c>
      <c r="C236" s="4">
        <v>13</v>
      </c>
      <c r="D236" s="4"/>
      <c r="E236" s="31" t="s">
        <v>1102</v>
      </c>
      <c r="F236" s="4">
        <v>16</v>
      </c>
    </row>
    <row r="237" ht="18" customHeight="1" spans="1:6">
      <c r="A237" s="4"/>
      <c r="B237" s="31" t="s">
        <v>1103</v>
      </c>
      <c r="C237" s="4">
        <v>20</v>
      </c>
      <c r="D237" s="4">
        <v>2</v>
      </c>
      <c r="E237" s="31" t="s">
        <v>1104</v>
      </c>
      <c r="F237" s="4">
        <v>30</v>
      </c>
    </row>
    <row r="238" ht="18" customHeight="1" spans="1:6">
      <c r="A238" s="4"/>
      <c r="B238" s="31" t="s">
        <v>1105</v>
      </c>
      <c r="C238" s="4">
        <v>10</v>
      </c>
      <c r="D238" s="4">
        <v>3</v>
      </c>
      <c r="E238" s="31" t="s">
        <v>200</v>
      </c>
      <c r="F238" s="4">
        <v>30</v>
      </c>
    </row>
    <row r="239" ht="18" customHeight="1" spans="1:6">
      <c r="A239" s="4">
        <v>8</v>
      </c>
      <c r="B239" s="31" t="s">
        <v>1106</v>
      </c>
      <c r="C239" s="4"/>
      <c r="D239" s="4">
        <v>4</v>
      </c>
      <c r="E239" s="31" t="s">
        <v>1107</v>
      </c>
      <c r="F239" s="4">
        <v>30</v>
      </c>
    </row>
    <row r="240" ht="18" customHeight="1" spans="1:6">
      <c r="A240" s="4"/>
      <c r="B240" s="31" t="s">
        <v>1108</v>
      </c>
      <c r="C240" s="4">
        <v>24</v>
      </c>
      <c r="D240" s="4">
        <v>5</v>
      </c>
      <c r="E240" s="31" t="s">
        <v>1109</v>
      </c>
      <c r="F240" s="4">
        <v>30</v>
      </c>
    </row>
    <row r="241" ht="18" customHeight="1" spans="1:6">
      <c r="A241" s="4"/>
      <c r="B241" s="31" t="s">
        <v>1110</v>
      </c>
      <c r="C241" s="4">
        <v>18</v>
      </c>
      <c r="D241" s="4">
        <v>6</v>
      </c>
      <c r="E241" s="31" t="s">
        <v>1111</v>
      </c>
      <c r="F241" s="4">
        <v>20</v>
      </c>
    </row>
    <row r="242" ht="18" customHeight="1" spans="1:6">
      <c r="A242" s="4"/>
      <c r="B242" s="31" t="s">
        <v>1112</v>
      </c>
      <c r="C242" s="4">
        <v>10</v>
      </c>
      <c r="D242" s="4">
        <v>7</v>
      </c>
      <c r="E242" s="31" t="s">
        <v>1113</v>
      </c>
      <c r="F242" s="4">
        <v>15</v>
      </c>
    </row>
    <row r="243" ht="18" customHeight="1" spans="1:6">
      <c r="A243" s="4"/>
      <c r="B243" s="31" t="s">
        <v>1114</v>
      </c>
      <c r="C243" s="4">
        <v>18</v>
      </c>
      <c r="D243" s="5"/>
      <c r="E243" s="5"/>
      <c r="F243" s="5"/>
    </row>
    <row r="244" ht="18" customHeight="1" spans="1:6">
      <c r="A244" s="4">
        <v>9</v>
      </c>
      <c r="B244" s="31" t="s">
        <v>1115</v>
      </c>
      <c r="C244" s="4">
        <v>30</v>
      </c>
      <c r="D244" s="5"/>
      <c r="E244" s="5"/>
      <c r="F244" s="5"/>
    </row>
    <row r="245" ht="18" customHeight="1" spans="1:6">
      <c r="A245" s="47" t="s">
        <v>1116</v>
      </c>
      <c r="B245" s="48" t="s">
        <v>1117</v>
      </c>
      <c r="C245" s="47" t="s">
        <v>764</v>
      </c>
      <c r="D245" s="5"/>
      <c r="E245" s="5"/>
      <c r="F245" s="5"/>
    </row>
    <row r="246" ht="18" customHeight="1" spans="1:6">
      <c r="A246" s="4">
        <v>1</v>
      </c>
      <c r="B246" s="31" t="s">
        <v>1118</v>
      </c>
      <c r="C246" s="4">
        <v>19</v>
      </c>
      <c r="D246" s="5"/>
      <c r="E246" s="5"/>
      <c r="F246" s="5"/>
    </row>
    <row r="247" ht="18" customHeight="1" spans="1:6">
      <c r="A247" s="4">
        <v>2</v>
      </c>
      <c r="B247" s="31" t="s">
        <v>1119</v>
      </c>
      <c r="C247" s="4">
        <v>19</v>
      </c>
      <c r="D247" s="5"/>
      <c r="E247" s="5"/>
      <c r="F247" s="5"/>
    </row>
    <row r="248" ht="18" customHeight="1" spans="1:6">
      <c r="A248" s="4">
        <v>3</v>
      </c>
      <c r="B248" s="31" t="s">
        <v>1120</v>
      </c>
      <c r="C248" s="4">
        <v>19</v>
      </c>
      <c r="D248" s="5"/>
      <c r="E248" s="5"/>
      <c r="F248" s="5"/>
    </row>
    <row r="249" ht="18" customHeight="1" spans="1:6">
      <c r="A249" s="4">
        <v>4</v>
      </c>
      <c r="B249" s="31" t="s">
        <v>1121</v>
      </c>
      <c r="C249" s="4">
        <v>19</v>
      </c>
      <c r="D249" s="5"/>
      <c r="E249" s="5"/>
      <c r="F249" s="5"/>
    </row>
    <row r="250" ht="18" customHeight="1" spans="1:6">
      <c r="A250" s="4">
        <v>5</v>
      </c>
      <c r="B250" s="31" t="s">
        <v>1122</v>
      </c>
      <c r="C250" s="4">
        <v>19</v>
      </c>
      <c r="D250" s="5"/>
      <c r="E250" s="5"/>
      <c r="F250" s="5"/>
    </row>
    <row r="251" ht="18" customHeight="1" spans="1:6">
      <c r="A251" s="4">
        <v>6</v>
      </c>
      <c r="B251" s="31" t="s">
        <v>1123</v>
      </c>
      <c r="C251" s="4">
        <v>19</v>
      </c>
      <c r="D251" s="5"/>
      <c r="E251" s="5"/>
      <c r="F251" s="5"/>
    </row>
    <row r="252" ht="18" customHeight="1" spans="1:6">
      <c r="A252" s="4">
        <v>7</v>
      </c>
      <c r="B252" s="31" t="s">
        <v>1124</v>
      </c>
      <c r="C252" s="4">
        <v>19</v>
      </c>
      <c r="D252" s="5"/>
      <c r="E252" s="5"/>
      <c r="F252" s="5"/>
    </row>
    <row r="253" ht="18" customHeight="1" spans="1:6">
      <c r="A253" s="4">
        <v>8</v>
      </c>
      <c r="B253" s="31" t="s">
        <v>1125</v>
      </c>
      <c r="C253" s="4">
        <v>19</v>
      </c>
      <c r="D253" s="5"/>
      <c r="E253" s="5"/>
      <c r="F253" s="5"/>
    </row>
    <row r="254" ht="18" customHeight="1" spans="1:6">
      <c r="A254" s="47" t="s">
        <v>1126</v>
      </c>
      <c r="B254" s="48" t="s">
        <v>1127</v>
      </c>
      <c r="C254" s="47"/>
      <c r="D254" s="5"/>
      <c r="E254" s="5"/>
      <c r="F254" s="5"/>
    </row>
    <row r="255" ht="18" customHeight="1" spans="1:6">
      <c r="A255" s="4">
        <v>1</v>
      </c>
      <c r="B255" s="31" t="s">
        <v>1128</v>
      </c>
      <c r="C255" s="4">
        <v>20</v>
      </c>
      <c r="D255" s="5"/>
      <c r="E255" s="5"/>
      <c r="F255" s="5"/>
    </row>
    <row r="256" ht="18" customHeight="1" spans="1:6">
      <c r="A256" s="4">
        <v>2</v>
      </c>
      <c r="B256" s="31" t="s">
        <v>1129</v>
      </c>
      <c r="C256" s="4">
        <v>50</v>
      </c>
      <c r="D256" s="5"/>
      <c r="E256" s="5"/>
      <c r="F256" s="5"/>
    </row>
    <row r="257" ht="18" customHeight="1" spans="1:6">
      <c r="A257" s="4"/>
      <c r="B257" s="31" t="s">
        <v>1130</v>
      </c>
      <c r="C257" s="4">
        <v>30</v>
      </c>
      <c r="D257" s="5"/>
      <c r="E257" s="5"/>
      <c r="F257" s="5"/>
    </row>
    <row r="258" ht="18" customHeight="1" spans="1:6">
      <c r="A258" s="41" t="s">
        <v>605</v>
      </c>
      <c r="B258" s="41" t="s">
        <v>606</v>
      </c>
      <c r="C258" s="41" t="s">
        <v>607</v>
      </c>
      <c r="D258" s="41" t="s">
        <v>605</v>
      </c>
      <c r="E258" s="41" t="s">
        <v>606</v>
      </c>
      <c r="F258" s="41" t="s">
        <v>607</v>
      </c>
    </row>
    <row r="259" ht="18" customHeight="1" spans="1:6">
      <c r="A259" s="47" t="s">
        <v>1131</v>
      </c>
      <c r="B259" s="48" t="s">
        <v>1132</v>
      </c>
      <c r="C259" s="47"/>
      <c r="D259" s="5"/>
      <c r="E259" s="5"/>
      <c r="F259" s="5"/>
    </row>
    <row r="260" ht="18" customHeight="1" spans="1:6">
      <c r="A260" s="4">
        <v>1</v>
      </c>
      <c r="B260" s="31" t="s">
        <v>1133</v>
      </c>
      <c r="C260" s="4" t="s">
        <v>1134</v>
      </c>
      <c r="D260" s="5"/>
      <c r="E260" s="5"/>
      <c r="F260" s="5"/>
    </row>
    <row r="261" ht="18" customHeight="1" spans="1:6">
      <c r="A261" s="4">
        <v>2</v>
      </c>
      <c r="B261" s="31" t="s">
        <v>1135</v>
      </c>
      <c r="C261" s="4">
        <v>9</v>
      </c>
      <c r="D261" s="5"/>
      <c r="E261" s="5"/>
      <c r="F261" s="5"/>
    </row>
    <row r="262" ht="18" customHeight="1" spans="1:6">
      <c r="A262" s="4">
        <v>3</v>
      </c>
      <c r="B262" s="31" t="s">
        <v>1136</v>
      </c>
      <c r="C262" s="4" t="s">
        <v>1137</v>
      </c>
      <c r="D262" s="5"/>
      <c r="E262" s="5"/>
      <c r="F262" s="5"/>
    </row>
    <row r="263" ht="18" customHeight="1" spans="1:6">
      <c r="A263" s="4">
        <v>4</v>
      </c>
      <c r="B263" s="31" t="s">
        <v>1138</v>
      </c>
      <c r="C263" s="4">
        <v>8</v>
      </c>
      <c r="D263" s="5"/>
      <c r="E263" s="5"/>
      <c r="F263" s="5"/>
    </row>
    <row r="264" ht="18" customHeight="1" spans="1:6">
      <c r="A264" s="4">
        <v>5</v>
      </c>
      <c r="B264" s="31" t="s">
        <v>1139</v>
      </c>
      <c r="C264" s="4">
        <v>18</v>
      </c>
      <c r="D264" s="5"/>
      <c r="E264" s="5"/>
      <c r="F264" s="5"/>
    </row>
    <row r="265" ht="18" customHeight="1" spans="1:6">
      <c r="A265" s="4">
        <v>6</v>
      </c>
      <c r="B265" s="31" t="s">
        <v>1140</v>
      </c>
      <c r="C265" s="4">
        <v>8</v>
      </c>
      <c r="D265" s="5"/>
      <c r="E265" s="5"/>
      <c r="F265" s="5"/>
    </row>
    <row r="266" ht="18" customHeight="1" spans="1:6">
      <c r="A266" s="4">
        <v>7</v>
      </c>
      <c r="B266" s="31" t="s">
        <v>1141</v>
      </c>
      <c r="C266" s="4">
        <v>10</v>
      </c>
      <c r="D266" s="5"/>
      <c r="E266" s="5"/>
      <c r="F266" s="5"/>
    </row>
    <row r="267" ht="18" customHeight="1" spans="1:6">
      <c r="A267" s="4">
        <v>8</v>
      </c>
      <c r="B267" s="31" t="s">
        <v>1142</v>
      </c>
      <c r="C267" s="4" t="s">
        <v>1143</v>
      </c>
      <c r="D267" s="5"/>
      <c r="E267" s="5"/>
      <c r="F267" s="5"/>
    </row>
    <row r="268" ht="18" customHeight="1" spans="1:6">
      <c r="A268" s="4">
        <v>9</v>
      </c>
      <c r="B268" s="31" t="s">
        <v>1144</v>
      </c>
      <c r="C268" s="4">
        <v>7</v>
      </c>
      <c r="D268" s="5"/>
      <c r="E268" s="5"/>
      <c r="F268" s="5"/>
    </row>
    <row r="269" ht="18" customHeight="1" spans="1:6">
      <c r="A269" s="4">
        <v>10</v>
      </c>
      <c r="B269" s="31" t="s">
        <v>1145</v>
      </c>
      <c r="C269" s="4">
        <v>6</v>
      </c>
      <c r="D269" s="5"/>
      <c r="E269" s="5"/>
      <c r="F269" s="5"/>
    </row>
    <row r="270" ht="18" customHeight="1" spans="1:6">
      <c r="A270" s="4">
        <v>11</v>
      </c>
      <c r="B270" s="31" t="s">
        <v>1146</v>
      </c>
      <c r="C270" s="4">
        <v>16</v>
      </c>
      <c r="D270" s="5"/>
      <c r="E270" s="5"/>
      <c r="F270" s="5"/>
    </row>
    <row r="271" ht="18" customHeight="1" spans="1:6">
      <c r="A271" s="4">
        <v>12</v>
      </c>
      <c r="B271" s="31" t="s">
        <v>1147</v>
      </c>
      <c r="C271" s="4">
        <v>6</v>
      </c>
      <c r="D271" s="5"/>
      <c r="E271" s="5"/>
      <c r="F271" s="5"/>
    </row>
    <row r="272" ht="18" customHeight="1" spans="1:6">
      <c r="A272" s="4">
        <v>13</v>
      </c>
      <c r="B272" s="31" t="s">
        <v>1148</v>
      </c>
      <c r="C272" s="4">
        <v>16</v>
      </c>
      <c r="D272" s="5"/>
      <c r="E272" s="5"/>
      <c r="F272" s="5"/>
    </row>
    <row r="273" ht="18" customHeight="1" spans="1:6">
      <c r="A273" s="4">
        <v>14</v>
      </c>
      <c r="B273" s="31" t="s">
        <v>1149</v>
      </c>
      <c r="C273" s="4">
        <v>12</v>
      </c>
      <c r="D273" s="5"/>
      <c r="E273" s="5"/>
      <c r="F273" s="5"/>
    </row>
    <row r="274" ht="18" customHeight="1" spans="1:6">
      <c r="A274" s="4">
        <v>15</v>
      </c>
      <c r="B274" s="31" t="s">
        <v>1150</v>
      </c>
      <c r="C274" s="4">
        <v>12</v>
      </c>
      <c r="D274" s="5"/>
      <c r="E274" s="5"/>
      <c r="F274" s="5"/>
    </row>
    <row r="275" ht="18" customHeight="1" spans="1:6">
      <c r="A275" s="4">
        <v>16</v>
      </c>
      <c r="B275" s="31" t="s">
        <v>1151</v>
      </c>
      <c r="C275" s="4">
        <v>5</v>
      </c>
      <c r="D275" s="5"/>
      <c r="E275" s="5"/>
      <c r="F275" s="5"/>
    </row>
    <row r="276" ht="18" customHeight="1" spans="1:6">
      <c r="A276" s="4">
        <v>17</v>
      </c>
      <c r="B276" s="31" t="s">
        <v>1152</v>
      </c>
      <c r="C276" s="4">
        <v>4</v>
      </c>
      <c r="D276" s="5"/>
      <c r="E276" s="5"/>
      <c r="F276" s="5"/>
    </row>
    <row r="277" ht="18" customHeight="1" spans="1:6">
      <c r="A277" s="4">
        <v>18</v>
      </c>
      <c r="B277" s="31" t="s">
        <v>1153</v>
      </c>
      <c r="C277" s="4">
        <v>11</v>
      </c>
      <c r="D277" s="5"/>
      <c r="E277" s="5"/>
      <c r="F277" s="5"/>
    </row>
    <row r="278" ht="18" customHeight="1" spans="1:6">
      <c r="A278" s="4">
        <v>19</v>
      </c>
      <c r="B278" s="31" t="s">
        <v>1154</v>
      </c>
      <c r="C278" s="4">
        <v>4</v>
      </c>
      <c r="D278" s="5"/>
      <c r="E278" s="5"/>
      <c r="F278" s="5"/>
    </row>
    <row r="279" ht="18" customHeight="1" spans="1:6">
      <c r="A279" s="4">
        <v>20</v>
      </c>
      <c r="B279" s="31" t="s">
        <v>1155</v>
      </c>
      <c r="C279" s="4">
        <v>11</v>
      </c>
      <c r="D279" s="5"/>
      <c r="E279" s="5"/>
      <c r="F279" s="5"/>
    </row>
    <row r="280" ht="18" customHeight="1" spans="1:6">
      <c r="A280" s="4"/>
      <c r="B280" s="31"/>
      <c r="C280" s="4"/>
      <c r="D280" s="5"/>
      <c r="E280" s="5"/>
      <c r="F280" s="5"/>
    </row>
    <row r="281" ht="18" customHeight="1" spans="1:6">
      <c r="A281" s="4"/>
      <c r="B281" s="31"/>
      <c r="C281" s="4"/>
      <c r="D281" s="5"/>
      <c r="E281" s="5"/>
      <c r="F281" s="5"/>
    </row>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sheetData>
  <mergeCells count="1">
    <mergeCell ref="A1:F1"/>
  </mergeCells>
  <pageMargins left="0.707638888888889" right="0.313888888888889" top="0.747916666666667" bottom="0.747916666666667" header="0.313888888888889" footer="0.313888888888889"/>
  <pageSetup paperSize="9" orientation="portrait"/>
  <headerFooter>
    <oddFooter>&amp;C第 &amp;P 页，共 &amp;N 页</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31"/>
  <sheetViews>
    <sheetView workbookViewId="0">
      <selection activeCell="A11" sqref="$A11:$XFD11"/>
    </sheetView>
  </sheetViews>
  <sheetFormatPr defaultColWidth="9" defaultRowHeight="13.5" outlineLevelCol="3"/>
  <cols>
    <col min="2" max="2" width="15" customWidth="1"/>
    <col min="3" max="3" width="46.75" customWidth="1"/>
    <col min="4" max="4" width="13.75" customWidth="1"/>
  </cols>
  <sheetData>
    <row r="2" ht="18" spans="2:4">
      <c r="B2" s="34" t="s">
        <v>1156</v>
      </c>
      <c r="C2" s="34"/>
      <c r="D2" s="34"/>
    </row>
    <row r="3" ht="14.25" spans="2:4">
      <c r="B3" s="35" t="s">
        <v>1157</v>
      </c>
      <c r="C3" s="36"/>
      <c r="D3" s="37"/>
    </row>
    <row r="4" ht="14.25" spans="2:4">
      <c r="B4" s="16" t="s">
        <v>20</v>
      </c>
      <c r="C4" s="16" t="s">
        <v>521</v>
      </c>
      <c r="D4" s="16" t="s">
        <v>1158</v>
      </c>
    </row>
    <row r="5" ht="14.25" spans="2:4">
      <c r="B5" s="38">
        <v>1</v>
      </c>
      <c r="C5" s="18" t="s">
        <v>1159</v>
      </c>
      <c r="D5" s="39" t="s">
        <v>1160</v>
      </c>
    </row>
    <row r="6" ht="14.25" spans="2:4">
      <c r="B6" s="38">
        <v>2</v>
      </c>
      <c r="C6" s="18" t="s">
        <v>430</v>
      </c>
      <c r="D6" s="39" t="s">
        <v>1161</v>
      </c>
    </row>
    <row r="7" ht="14.25" spans="2:4">
      <c r="B7" s="38">
        <v>3</v>
      </c>
      <c r="C7" s="18" t="s">
        <v>1162</v>
      </c>
      <c r="D7" s="39" t="s">
        <v>1163</v>
      </c>
    </row>
    <row r="8" ht="14.25" spans="2:4">
      <c r="B8" s="38">
        <v>4</v>
      </c>
      <c r="C8" s="18" t="s">
        <v>1164</v>
      </c>
      <c r="D8" s="39" t="s">
        <v>1165</v>
      </c>
    </row>
    <row r="9" ht="14.25" spans="2:4">
      <c r="B9" s="38">
        <v>5</v>
      </c>
      <c r="C9" s="18" t="s">
        <v>1166</v>
      </c>
      <c r="D9" s="39" t="s">
        <v>1167</v>
      </c>
    </row>
    <row r="10" ht="14.25" spans="2:4">
      <c r="B10" s="38">
        <v>6</v>
      </c>
      <c r="C10" s="18" t="s">
        <v>1168</v>
      </c>
      <c r="D10" s="39" t="s">
        <v>559</v>
      </c>
    </row>
    <row r="11" ht="14.25" spans="2:4">
      <c r="B11" s="38">
        <v>7</v>
      </c>
      <c r="C11" s="18" t="s">
        <v>1169</v>
      </c>
      <c r="D11" s="39" t="s">
        <v>1170</v>
      </c>
    </row>
    <row r="12" ht="14.25" spans="2:4">
      <c r="B12" s="38">
        <v>8</v>
      </c>
      <c r="C12" s="18" t="s">
        <v>1171</v>
      </c>
      <c r="D12" s="39" t="s">
        <v>1161</v>
      </c>
    </row>
    <row r="13" ht="14.25" spans="2:4">
      <c r="B13" s="38">
        <v>9</v>
      </c>
      <c r="C13" s="18" t="s">
        <v>1172</v>
      </c>
      <c r="D13" s="39" t="s">
        <v>1173</v>
      </c>
    </row>
    <row r="14" ht="14.25" spans="2:4">
      <c r="B14" s="38">
        <v>10</v>
      </c>
      <c r="C14" s="18" t="s">
        <v>1174</v>
      </c>
      <c r="D14" s="39" t="s">
        <v>540</v>
      </c>
    </row>
    <row r="15" ht="14.25" spans="2:4">
      <c r="B15" s="38">
        <v>11</v>
      </c>
      <c r="C15" s="18" t="s">
        <v>1175</v>
      </c>
      <c r="D15" s="39" t="s">
        <v>1176</v>
      </c>
    </row>
    <row r="16" ht="14.25" spans="2:4">
      <c r="B16" s="38">
        <v>12</v>
      </c>
      <c r="C16" s="18" t="s">
        <v>1177</v>
      </c>
      <c r="D16" s="39" t="s">
        <v>540</v>
      </c>
    </row>
    <row r="17" ht="14.25" spans="2:4">
      <c r="B17" s="38">
        <v>13</v>
      </c>
      <c r="C17" s="18" t="s">
        <v>1178</v>
      </c>
      <c r="D17" s="39" t="s">
        <v>1179</v>
      </c>
    </row>
    <row r="18" ht="14.25" spans="2:4">
      <c r="B18" s="38">
        <v>14</v>
      </c>
      <c r="C18" s="18" t="s">
        <v>1180</v>
      </c>
      <c r="D18" s="39" t="s">
        <v>567</v>
      </c>
    </row>
    <row r="19" ht="14.25" spans="2:4">
      <c r="B19" s="38">
        <v>15</v>
      </c>
      <c r="C19" s="18" t="s">
        <v>1181</v>
      </c>
      <c r="D19" s="39" t="s">
        <v>1173</v>
      </c>
    </row>
    <row r="20" ht="14.25" spans="2:4">
      <c r="B20" s="38">
        <v>16</v>
      </c>
      <c r="C20" s="18" t="s">
        <v>1182</v>
      </c>
      <c r="D20" s="39" t="s">
        <v>1183</v>
      </c>
    </row>
    <row r="21" ht="14.25" spans="2:4">
      <c r="B21" s="38">
        <v>17</v>
      </c>
      <c r="C21" s="18" t="s">
        <v>1184</v>
      </c>
      <c r="D21" s="39" t="s">
        <v>1185</v>
      </c>
    </row>
    <row r="22" ht="14.25" spans="2:4">
      <c r="B22" s="38">
        <v>18</v>
      </c>
      <c r="C22" s="18" t="s">
        <v>1186</v>
      </c>
      <c r="D22" s="39" t="s">
        <v>1163</v>
      </c>
    </row>
    <row r="23" ht="14.25" spans="2:4">
      <c r="B23" s="38">
        <v>19</v>
      </c>
      <c r="C23" s="18" t="s">
        <v>1187</v>
      </c>
      <c r="D23" s="39" t="s">
        <v>544</v>
      </c>
    </row>
    <row r="24" ht="14.25" spans="2:4">
      <c r="B24" s="38">
        <v>20</v>
      </c>
      <c r="C24" s="18" t="s">
        <v>1188</v>
      </c>
      <c r="D24" s="39" t="s">
        <v>1189</v>
      </c>
    </row>
    <row r="25" ht="14.25" spans="2:4">
      <c r="B25" s="38">
        <v>21</v>
      </c>
      <c r="C25" s="18" t="s">
        <v>1190</v>
      </c>
      <c r="D25" s="39" t="s">
        <v>1191</v>
      </c>
    </row>
    <row r="26" ht="14.25" spans="2:4">
      <c r="B26" s="38">
        <v>22</v>
      </c>
      <c r="C26" s="18" t="s">
        <v>1192</v>
      </c>
      <c r="D26" s="39" t="s">
        <v>1193</v>
      </c>
    </row>
    <row r="27" ht="14.25" spans="2:4">
      <c r="B27" s="38">
        <v>23</v>
      </c>
      <c r="C27" s="18" t="s">
        <v>1194</v>
      </c>
      <c r="D27" s="39" t="s">
        <v>1195</v>
      </c>
    </row>
    <row r="28" ht="14.25" spans="2:4">
      <c r="B28" s="38">
        <v>24</v>
      </c>
      <c r="C28" s="18" t="s">
        <v>1196</v>
      </c>
      <c r="D28" s="39" t="s">
        <v>1197</v>
      </c>
    </row>
    <row r="29" ht="14.25" spans="2:4">
      <c r="B29" s="38">
        <v>25</v>
      </c>
      <c r="C29" s="18" t="s">
        <v>1198</v>
      </c>
      <c r="D29" s="39" t="s">
        <v>1199</v>
      </c>
    </row>
    <row r="30" ht="14.25" spans="2:4">
      <c r="B30" s="38">
        <v>26</v>
      </c>
      <c r="C30" s="18"/>
      <c r="D30" s="39"/>
    </row>
    <row r="31" ht="14.25" spans="2:4">
      <c r="B31" s="38"/>
      <c r="C31" s="18"/>
      <c r="D31" s="39"/>
    </row>
  </sheetData>
  <mergeCells count="1">
    <mergeCell ref="B2:D2"/>
  </mergeCells>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37"/>
  <sheetViews>
    <sheetView topLeftCell="A10" workbookViewId="0">
      <selection activeCell="C33" sqref="C33:F33"/>
    </sheetView>
  </sheetViews>
  <sheetFormatPr defaultColWidth="8.875" defaultRowHeight="13.5" outlineLevelCol="6"/>
  <cols>
    <col min="1" max="1" width="8.875" style="2"/>
    <col min="2" max="2" width="26.125" style="2" customWidth="1"/>
    <col min="3" max="6" width="12.25" style="2" customWidth="1"/>
    <col min="7" max="16384" width="8.875" style="2"/>
  </cols>
  <sheetData>
    <row r="2" ht="19.5" spans="2:4">
      <c r="B2" s="21" t="s">
        <v>1200</v>
      </c>
      <c r="C2" s="21"/>
      <c r="D2" s="21"/>
    </row>
    <row r="3" spans="2:4">
      <c r="B3" s="4" t="s">
        <v>1201</v>
      </c>
      <c r="C3" s="4" t="s">
        <v>1202</v>
      </c>
      <c r="D3" s="4" t="s">
        <v>1203</v>
      </c>
    </row>
    <row r="4" spans="2:4">
      <c r="B4" s="5" t="s">
        <v>1204</v>
      </c>
      <c r="C4" s="4" t="s">
        <v>1205</v>
      </c>
      <c r="D4" s="4">
        <v>0.8</v>
      </c>
    </row>
    <row r="5" spans="2:4">
      <c r="B5" s="5" t="s">
        <v>1206</v>
      </c>
      <c r="C5" s="4" t="s">
        <v>1205</v>
      </c>
      <c r="D5" s="4">
        <v>0.9</v>
      </c>
    </row>
    <row r="6" spans="2:4">
      <c r="B6" s="5" t="s">
        <v>1207</v>
      </c>
      <c r="C6" s="4" t="s">
        <v>1205</v>
      </c>
      <c r="D6" s="4">
        <v>1</v>
      </c>
    </row>
    <row r="7" spans="2:4">
      <c r="B7" s="5" t="s">
        <v>1208</v>
      </c>
      <c r="C7" s="4" t="s">
        <v>1205</v>
      </c>
      <c r="D7" s="4">
        <v>1.1</v>
      </c>
    </row>
    <row r="8" spans="2:4">
      <c r="B8" s="5" t="s">
        <v>1209</v>
      </c>
      <c r="C8" s="4" t="s">
        <v>1205</v>
      </c>
      <c r="D8" s="4">
        <v>1.2</v>
      </c>
    </row>
    <row r="9" spans="2:4">
      <c r="B9" s="5" t="s">
        <v>1210</v>
      </c>
      <c r="C9" s="4" t="s">
        <v>1205</v>
      </c>
      <c r="D9" s="4">
        <v>1.5</v>
      </c>
    </row>
    <row r="10" spans="2:4">
      <c r="B10" s="5" t="s">
        <v>1211</v>
      </c>
      <c r="C10" s="4" t="s">
        <v>1205</v>
      </c>
      <c r="D10" s="4">
        <v>1.7</v>
      </c>
    </row>
    <row r="11" spans="2:4">
      <c r="B11" s="5" t="s">
        <v>1212</v>
      </c>
      <c r="C11" s="4" t="s">
        <v>1205</v>
      </c>
      <c r="D11" s="4">
        <v>2</v>
      </c>
    </row>
    <row r="12" spans="2:4">
      <c r="B12" s="5" t="s">
        <v>1213</v>
      </c>
      <c r="C12" s="4" t="s">
        <v>1205</v>
      </c>
      <c r="D12" s="4">
        <v>2.2</v>
      </c>
    </row>
    <row r="13" spans="2:4">
      <c r="B13" s="5" t="s">
        <v>1214</v>
      </c>
      <c r="C13" s="4" t="s">
        <v>1205</v>
      </c>
      <c r="D13" s="4">
        <v>2.4</v>
      </c>
    </row>
    <row r="14" spans="2:4">
      <c r="B14" s="5" t="s">
        <v>1215</v>
      </c>
      <c r="C14" s="4" t="s">
        <v>1205</v>
      </c>
      <c r="D14" s="4">
        <v>2.6</v>
      </c>
    </row>
    <row r="15" spans="2:4">
      <c r="B15" s="5" t="s">
        <v>1216</v>
      </c>
      <c r="C15" s="4" t="s">
        <v>1205</v>
      </c>
      <c r="D15" s="4">
        <v>0.1</v>
      </c>
    </row>
    <row r="17" ht="15.75" spans="1:2">
      <c r="A17" s="22" t="s">
        <v>1217</v>
      </c>
      <c r="B17" s="23" t="s">
        <v>1218</v>
      </c>
    </row>
    <row r="18" ht="15.75" spans="2:2">
      <c r="B18" s="24" t="s">
        <v>1219</v>
      </c>
    </row>
    <row r="19" ht="15.75" spans="2:2">
      <c r="B19" s="24" t="s">
        <v>1220</v>
      </c>
    </row>
    <row r="20" ht="15.75" spans="2:2">
      <c r="B20" s="24" t="s">
        <v>1221</v>
      </c>
    </row>
    <row r="22" ht="14.25" spans="2:7">
      <c r="B22" s="24" t="s">
        <v>1222</v>
      </c>
      <c r="G22" s="25"/>
    </row>
    <row r="23" ht="14.25" spans="2:7">
      <c r="B23" s="26" t="s">
        <v>1223</v>
      </c>
      <c r="C23" s="27"/>
      <c r="D23" s="27"/>
      <c r="E23" s="27"/>
      <c r="F23" s="27"/>
      <c r="G23" s="25"/>
    </row>
    <row r="24" ht="15.75" spans="2:7">
      <c r="B24" s="26"/>
      <c r="C24" s="27"/>
      <c r="D24" s="27"/>
      <c r="E24" s="27"/>
      <c r="F24" s="28" t="s">
        <v>1224</v>
      </c>
      <c r="G24" s="25"/>
    </row>
    <row r="25" ht="14.25" spans="2:7">
      <c r="B25" s="29" t="s">
        <v>1225</v>
      </c>
      <c r="C25" s="4" t="s">
        <v>1226</v>
      </c>
      <c r="D25" s="4" t="s">
        <v>1227</v>
      </c>
      <c r="E25" s="4" t="s">
        <v>344</v>
      </c>
      <c r="F25" s="4" t="s">
        <v>1228</v>
      </c>
      <c r="G25" s="25"/>
    </row>
    <row r="26" ht="14.25" spans="2:7">
      <c r="B26" s="5" t="s">
        <v>1229</v>
      </c>
      <c r="C26" s="30">
        <v>0.53</v>
      </c>
      <c r="D26" s="30">
        <v>0.59</v>
      </c>
      <c r="E26" s="30">
        <v>0.64</v>
      </c>
      <c r="F26" s="30">
        <v>0.69</v>
      </c>
      <c r="G26" s="25"/>
    </row>
    <row r="27" ht="14.25" spans="2:7">
      <c r="B27" s="5" t="s">
        <v>1230</v>
      </c>
      <c r="C27" s="30">
        <v>2.1</v>
      </c>
      <c r="D27" s="30">
        <v>2.4</v>
      </c>
      <c r="E27" s="30">
        <v>2.7</v>
      </c>
      <c r="F27" s="30">
        <v>3.3</v>
      </c>
      <c r="G27" s="25"/>
    </row>
    <row r="28" ht="14.25" spans="2:7">
      <c r="B28" s="5" t="s">
        <v>1231</v>
      </c>
      <c r="C28" s="30"/>
      <c r="D28" s="30">
        <v>2.4</v>
      </c>
      <c r="E28" s="30">
        <v>2.7</v>
      </c>
      <c r="F28" s="30">
        <v>3.3</v>
      </c>
      <c r="G28" s="25"/>
    </row>
    <row r="29" ht="14.25" spans="2:7">
      <c r="B29" s="31" t="s">
        <v>1232</v>
      </c>
      <c r="C29" s="30">
        <f>SUM(C27:C28)</f>
        <v>2.1</v>
      </c>
      <c r="D29" s="30">
        <f t="shared" ref="D29:F29" si="0">SUM(D27:D28)</f>
        <v>4.8</v>
      </c>
      <c r="E29" s="30">
        <f t="shared" si="0"/>
        <v>5.4</v>
      </c>
      <c r="F29" s="30">
        <f t="shared" si="0"/>
        <v>6.6</v>
      </c>
      <c r="G29" s="25"/>
    </row>
    <row r="30" ht="14.25" spans="2:7">
      <c r="B30" s="25"/>
      <c r="G30" s="25"/>
    </row>
    <row r="31" ht="34.9" customHeight="1" spans="2:7">
      <c r="B31" s="5" t="s">
        <v>1226</v>
      </c>
      <c r="C31" s="32" t="s">
        <v>1233</v>
      </c>
      <c r="D31" s="32"/>
      <c r="E31" s="32"/>
      <c r="F31" s="32"/>
      <c r="G31" s="25"/>
    </row>
    <row r="32" ht="34.9" customHeight="1" spans="2:7">
      <c r="B32" s="5" t="s">
        <v>1227</v>
      </c>
      <c r="C32" s="32" t="s">
        <v>1234</v>
      </c>
      <c r="D32" s="32"/>
      <c r="E32" s="32"/>
      <c r="F32" s="32"/>
      <c r="G32" s="25"/>
    </row>
    <row r="33" ht="34.9" customHeight="1" spans="2:7">
      <c r="B33" s="5" t="s">
        <v>344</v>
      </c>
      <c r="C33" s="32" t="s">
        <v>1235</v>
      </c>
      <c r="D33" s="32"/>
      <c r="E33" s="32"/>
      <c r="F33" s="32"/>
      <c r="G33" s="25"/>
    </row>
    <row r="34" ht="34.9" customHeight="1" spans="2:7">
      <c r="B34" s="5" t="s">
        <v>1228</v>
      </c>
      <c r="C34" s="32" t="s">
        <v>1236</v>
      </c>
      <c r="D34" s="32"/>
      <c r="E34" s="32"/>
      <c r="F34" s="32"/>
      <c r="G34" s="25"/>
    </row>
    <row r="35" ht="14.25" spans="7:7">
      <c r="G35" s="25"/>
    </row>
    <row r="36" ht="14.25" spans="2:7">
      <c r="B36" s="25" t="s">
        <v>1237</v>
      </c>
      <c r="C36" s="33"/>
      <c r="G36" s="25"/>
    </row>
    <row r="37" ht="14.25" spans="3:7">
      <c r="C37" s="33"/>
      <c r="G37" s="25"/>
    </row>
  </sheetData>
  <mergeCells count="6">
    <mergeCell ref="B2:D2"/>
    <mergeCell ref="B23:F23"/>
    <mergeCell ref="C31:F31"/>
    <mergeCell ref="C32:F32"/>
    <mergeCell ref="C33:F33"/>
    <mergeCell ref="C34:F34"/>
  </mergeCells>
  <pageMargins left="0.699305555555556" right="0.699305555555556" top="0.75" bottom="0.75" header="0.3" footer="0.3"/>
  <pageSetup paperSize="9" orientation="portrait"/>
  <headerFooter/>
  <ignoredErrors>
    <ignoredError sqref="C29:F29" formulaRange="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33"/>
  </sheetPr>
  <dimension ref="A1:G10"/>
  <sheetViews>
    <sheetView workbookViewId="0">
      <selection activeCell="I8" sqref="I8"/>
    </sheetView>
  </sheetViews>
  <sheetFormatPr defaultColWidth="9" defaultRowHeight="14.25" outlineLevelCol="6"/>
  <cols>
    <col min="1" max="1" width="15.875" style="449" customWidth="1"/>
    <col min="2" max="2" width="42.25" style="450" customWidth="1"/>
    <col min="3" max="3" width="27.625" style="449" customWidth="1"/>
    <col min="4" max="4" width="15.5" style="449" customWidth="1"/>
    <col min="5" max="256" width="8.875" style="449"/>
    <col min="257" max="257" width="13" style="449" customWidth="1"/>
    <col min="258" max="258" width="39.625" style="449" customWidth="1"/>
    <col min="259" max="259" width="27.625" style="449" customWidth="1"/>
    <col min="260" max="260" width="15.5" style="449" customWidth="1"/>
    <col min="261" max="512" width="8.875" style="449"/>
    <col min="513" max="513" width="13" style="449" customWidth="1"/>
    <col min="514" max="514" width="39.625" style="449" customWidth="1"/>
    <col min="515" max="515" width="27.625" style="449" customWidth="1"/>
    <col min="516" max="516" width="15.5" style="449" customWidth="1"/>
    <col min="517" max="768" width="8.875" style="449"/>
    <col min="769" max="769" width="13" style="449" customWidth="1"/>
    <col min="770" max="770" width="39.625" style="449" customWidth="1"/>
    <col min="771" max="771" width="27.625" style="449" customWidth="1"/>
    <col min="772" max="772" width="15.5" style="449" customWidth="1"/>
    <col min="773" max="1024" width="8.875" style="449"/>
    <col min="1025" max="1025" width="13" style="449" customWidth="1"/>
    <col min="1026" max="1026" width="39.625" style="449" customWidth="1"/>
    <col min="1027" max="1027" width="27.625" style="449" customWidth="1"/>
    <col min="1028" max="1028" width="15.5" style="449" customWidth="1"/>
    <col min="1029" max="1280" width="8.875" style="449"/>
    <col min="1281" max="1281" width="13" style="449" customWidth="1"/>
    <col min="1282" max="1282" width="39.625" style="449" customWidth="1"/>
    <col min="1283" max="1283" width="27.625" style="449" customWidth="1"/>
    <col min="1284" max="1284" width="15.5" style="449" customWidth="1"/>
    <col min="1285" max="1536" width="8.875" style="449"/>
    <col min="1537" max="1537" width="13" style="449" customWidth="1"/>
    <col min="1538" max="1538" width="39.625" style="449" customWidth="1"/>
    <col min="1539" max="1539" width="27.625" style="449" customWidth="1"/>
    <col min="1540" max="1540" width="15.5" style="449" customWidth="1"/>
    <col min="1541" max="1792" width="8.875" style="449"/>
    <col min="1793" max="1793" width="13" style="449" customWidth="1"/>
    <col min="1794" max="1794" width="39.625" style="449" customWidth="1"/>
    <col min="1795" max="1795" width="27.625" style="449" customWidth="1"/>
    <col min="1796" max="1796" width="15.5" style="449" customWidth="1"/>
    <col min="1797" max="2048" width="8.875" style="449"/>
    <col min="2049" max="2049" width="13" style="449" customWidth="1"/>
    <col min="2050" max="2050" width="39.625" style="449" customWidth="1"/>
    <col min="2051" max="2051" width="27.625" style="449" customWidth="1"/>
    <col min="2052" max="2052" width="15.5" style="449" customWidth="1"/>
    <col min="2053" max="2304" width="8.875" style="449"/>
    <col min="2305" max="2305" width="13" style="449" customWidth="1"/>
    <col min="2306" max="2306" width="39.625" style="449" customWidth="1"/>
    <col min="2307" max="2307" width="27.625" style="449" customWidth="1"/>
    <col min="2308" max="2308" width="15.5" style="449" customWidth="1"/>
    <col min="2309" max="2560" width="8.875" style="449"/>
    <col min="2561" max="2561" width="13" style="449" customWidth="1"/>
    <col min="2562" max="2562" width="39.625" style="449" customWidth="1"/>
    <col min="2563" max="2563" width="27.625" style="449" customWidth="1"/>
    <col min="2564" max="2564" width="15.5" style="449" customWidth="1"/>
    <col min="2565" max="2816" width="8.875" style="449"/>
    <col min="2817" max="2817" width="13" style="449" customWidth="1"/>
    <col min="2818" max="2818" width="39.625" style="449" customWidth="1"/>
    <col min="2819" max="2819" width="27.625" style="449" customWidth="1"/>
    <col min="2820" max="2820" width="15.5" style="449" customWidth="1"/>
    <col min="2821" max="3072" width="8.875" style="449"/>
    <col min="3073" max="3073" width="13" style="449" customWidth="1"/>
    <col min="3074" max="3074" width="39.625" style="449" customWidth="1"/>
    <col min="3075" max="3075" width="27.625" style="449" customWidth="1"/>
    <col min="3076" max="3076" width="15.5" style="449" customWidth="1"/>
    <col min="3077" max="3328" width="8.875" style="449"/>
    <col min="3329" max="3329" width="13" style="449" customWidth="1"/>
    <col min="3330" max="3330" width="39.625" style="449" customWidth="1"/>
    <col min="3331" max="3331" width="27.625" style="449" customWidth="1"/>
    <col min="3332" max="3332" width="15.5" style="449" customWidth="1"/>
    <col min="3333" max="3584" width="8.875" style="449"/>
    <col min="3585" max="3585" width="13" style="449" customWidth="1"/>
    <col min="3586" max="3586" width="39.625" style="449" customWidth="1"/>
    <col min="3587" max="3587" width="27.625" style="449" customWidth="1"/>
    <col min="3588" max="3588" width="15.5" style="449" customWidth="1"/>
    <col min="3589" max="3840" width="8.875" style="449"/>
    <col min="3841" max="3841" width="13" style="449" customWidth="1"/>
    <col min="3842" max="3842" width="39.625" style="449" customWidth="1"/>
    <col min="3843" max="3843" width="27.625" style="449" customWidth="1"/>
    <col min="3844" max="3844" width="15.5" style="449" customWidth="1"/>
    <col min="3845" max="4096" width="8.875" style="449"/>
    <col min="4097" max="4097" width="13" style="449" customWidth="1"/>
    <col min="4098" max="4098" width="39.625" style="449" customWidth="1"/>
    <col min="4099" max="4099" width="27.625" style="449" customWidth="1"/>
    <col min="4100" max="4100" width="15.5" style="449" customWidth="1"/>
    <col min="4101" max="4352" width="8.875" style="449"/>
    <col min="4353" max="4353" width="13" style="449" customWidth="1"/>
    <col min="4354" max="4354" width="39.625" style="449" customWidth="1"/>
    <col min="4355" max="4355" width="27.625" style="449" customWidth="1"/>
    <col min="4356" max="4356" width="15.5" style="449" customWidth="1"/>
    <col min="4357" max="4608" width="8.875" style="449"/>
    <col min="4609" max="4609" width="13" style="449" customWidth="1"/>
    <col min="4610" max="4610" width="39.625" style="449" customWidth="1"/>
    <col min="4611" max="4611" width="27.625" style="449" customWidth="1"/>
    <col min="4612" max="4612" width="15.5" style="449" customWidth="1"/>
    <col min="4613" max="4864" width="8.875" style="449"/>
    <col min="4865" max="4865" width="13" style="449" customWidth="1"/>
    <col min="4866" max="4866" width="39.625" style="449" customWidth="1"/>
    <col min="4867" max="4867" width="27.625" style="449" customWidth="1"/>
    <col min="4868" max="4868" width="15.5" style="449" customWidth="1"/>
    <col min="4869" max="5120" width="8.875" style="449"/>
    <col min="5121" max="5121" width="13" style="449" customWidth="1"/>
    <col min="5122" max="5122" width="39.625" style="449" customWidth="1"/>
    <col min="5123" max="5123" width="27.625" style="449" customWidth="1"/>
    <col min="5124" max="5124" width="15.5" style="449" customWidth="1"/>
    <col min="5125" max="5376" width="8.875" style="449"/>
    <col min="5377" max="5377" width="13" style="449" customWidth="1"/>
    <col min="5378" max="5378" width="39.625" style="449" customWidth="1"/>
    <col min="5379" max="5379" width="27.625" style="449" customWidth="1"/>
    <col min="5380" max="5380" width="15.5" style="449" customWidth="1"/>
    <col min="5381" max="5632" width="8.875" style="449"/>
    <col min="5633" max="5633" width="13" style="449" customWidth="1"/>
    <col min="5634" max="5634" width="39.625" style="449" customWidth="1"/>
    <col min="5635" max="5635" width="27.625" style="449" customWidth="1"/>
    <col min="5636" max="5636" width="15.5" style="449" customWidth="1"/>
    <col min="5637" max="5888" width="8.875" style="449"/>
    <col min="5889" max="5889" width="13" style="449" customWidth="1"/>
    <col min="5890" max="5890" width="39.625" style="449" customWidth="1"/>
    <col min="5891" max="5891" width="27.625" style="449" customWidth="1"/>
    <col min="5892" max="5892" width="15.5" style="449" customWidth="1"/>
    <col min="5893" max="6144" width="8.875" style="449"/>
    <col min="6145" max="6145" width="13" style="449" customWidth="1"/>
    <col min="6146" max="6146" width="39.625" style="449" customWidth="1"/>
    <col min="6147" max="6147" width="27.625" style="449" customWidth="1"/>
    <col min="6148" max="6148" width="15.5" style="449" customWidth="1"/>
    <col min="6149" max="6400" width="8.875" style="449"/>
    <col min="6401" max="6401" width="13" style="449" customWidth="1"/>
    <col min="6402" max="6402" width="39.625" style="449" customWidth="1"/>
    <col min="6403" max="6403" width="27.625" style="449" customWidth="1"/>
    <col min="6404" max="6404" width="15.5" style="449" customWidth="1"/>
    <col min="6405" max="6656" width="8.875" style="449"/>
    <col min="6657" max="6657" width="13" style="449" customWidth="1"/>
    <col min="6658" max="6658" width="39.625" style="449" customWidth="1"/>
    <col min="6659" max="6659" width="27.625" style="449" customWidth="1"/>
    <col min="6660" max="6660" width="15.5" style="449" customWidth="1"/>
    <col min="6661" max="6912" width="8.875" style="449"/>
    <col min="6913" max="6913" width="13" style="449" customWidth="1"/>
    <col min="6914" max="6914" width="39.625" style="449" customWidth="1"/>
    <col min="6915" max="6915" width="27.625" style="449" customWidth="1"/>
    <col min="6916" max="6916" width="15.5" style="449" customWidth="1"/>
    <col min="6917" max="7168" width="8.875" style="449"/>
    <col min="7169" max="7169" width="13" style="449" customWidth="1"/>
    <col min="7170" max="7170" width="39.625" style="449" customWidth="1"/>
    <col min="7171" max="7171" width="27.625" style="449" customWidth="1"/>
    <col min="7172" max="7172" width="15.5" style="449" customWidth="1"/>
    <col min="7173" max="7424" width="8.875" style="449"/>
    <col min="7425" max="7425" width="13" style="449" customWidth="1"/>
    <col min="7426" max="7426" width="39.625" style="449" customWidth="1"/>
    <col min="7427" max="7427" width="27.625" style="449" customWidth="1"/>
    <col min="7428" max="7428" width="15.5" style="449" customWidth="1"/>
    <col min="7429" max="7680" width="8.875" style="449"/>
    <col min="7681" max="7681" width="13" style="449" customWidth="1"/>
    <col min="7682" max="7682" width="39.625" style="449" customWidth="1"/>
    <col min="7683" max="7683" width="27.625" style="449" customWidth="1"/>
    <col min="7684" max="7684" width="15.5" style="449" customWidth="1"/>
    <col min="7685" max="7936" width="8.875" style="449"/>
    <col min="7937" max="7937" width="13" style="449" customWidth="1"/>
    <col min="7938" max="7938" width="39.625" style="449" customWidth="1"/>
    <col min="7939" max="7939" width="27.625" style="449" customWidth="1"/>
    <col min="7940" max="7940" width="15.5" style="449" customWidth="1"/>
    <col min="7941" max="8192" width="8.875" style="449"/>
    <col min="8193" max="8193" width="13" style="449" customWidth="1"/>
    <col min="8194" max="8194" width="39.625" style="449" customWidth="1"/>
    <col min="8195" max="8195" width="27.625" style="449" customWidth="1"/>
    <col min="8196" max="8196" width="15.5" style="449" customWidth="1"/>
    <col min="8197" max="8448" width="8.875" style="449"/>
    <col min="8449" max="8449" width="13" style="449" customWidth="1"/>
    <col min="8450" max="8450" width="39.625" style="449" customWidth="1"/>
    <col min="8451" max="8451" width="27.625" style="449" customWidth="1"/>
    <col min="8452" max="8452" width="15.5" style="449" customWidth="1"/>
    <col min="8453" max="8704" width="8.875" style="449"/>
    <col min="8705" max="8705" width="13" style="449" customWidth="1"/>
    <col min="8706" max="8706" width="39.625" style="449" customWidth="1"/>
    <col min="8707" max="8707" width="27.625" style="449" customWidth="1"/>
    <col min="8708" max="8708" width="15.5" style="449" customWidth="1"/>
    <col min="8709" max="8960" width="8.875" style="449"/>
    <col min="8961" max="8961" width="13" style="449" customWidth="1"/>
    <col min="8962" max="8962" width="39.625" style="449" customWidth="1"/>
    <col min="8963" max="8963" width="27.625" style="449" customWidth="1"/>
    <col min="8964" max="8964" width="15.5" style="449" customWidth="1"/>
    <col min="8965" max="9216" width="8.875" style="449"/>
    <col min="9217" max="9217" width="13" style="449" customWidth="1"/>
    <col min="9218" max="9218" width="39.625" style="449" customWidth="1"/>
    <col min="9219" max="9219" width="27.625" style="449" customWidth="1"/>
    <col min="9220" max="9220" width="15.5" style="449" customWidth="1"/>
    <col min="9221" max="9472" width="8.875" style="449"/>
    <col min="9473" max="9473" width="13" style="449" customWidth="1"/>
    <col min="9474" max="9474" width="39.625" style="449" customWidth="1"/>
    <col min="9475" max="9475" width="27.625" style="449" customWidth="1"/>
    <col min="9476" max="9476" width="15.5" style="449" customWidth="1"/>
    <col min="9477" max="9728" width="8.875" style="449"/>
    <col min="9729" max="9729" width="13" style="449" customWidth="1"/>
    <col min="9730" max="9730" width="39.625" style="449" customWidth="1"/>
    <col min="9731" max="9731" width="27.625" style="449" customWidth="1"/>
    <col min="9732" max="9732" width="15.5" style="449" customWidth="1"/>
    <col min="9733" max="9984" width="8.875" style="449"/>
    <col min="9985" max="9985" width="13" style="449" customWidth="1"/>
    <col min="9986" max="9986" width="39.625" style="449" customWidth="1"/>
    <col min="9987" max="9987" width="27.625" style="449" customWidth="1"/>
    <col min="9988" max="9988" width="15.5" style="449" customWidth="1"/>
    <col min="9989" max="10240" width="8.875" style="449"/>
    <col min="10241" max="10241" width="13" style="449" customWidth="1"/>
    <col min="10242" max="10242" width="39.625" style="449" customWidth="1"/>
    <col min="10243" max="10243" width="27.625" style="449" customWidth="1"/>
    <col min="10244" max="10244" width="15.5" style="449" customWidth="1"/>
    <col min="10245" max="10496" width="8.875" style="449"/>
    <col min="10497" max="10497" width="13" style="449" customWidth="1"/>
    <col min="10498" max="10498" width="39.625" style="449" customWidth="1"/>
    <col min="10499" max="10499" width="27.625" style="449" customWidth="1"/>
    <col min="10500" max="10500" width="15.5" style="449" customWidth="1"/>
    <col min="10501" max="10752" width="8.875" style="449"/>
    <col min="10753" max="10753" width="13" style="449" customWidth="1"/>
    <col min="10754" max="10754" width="39.625" style="449" customWidth="1"/>
    <col min="10755" max="10755" width="27.625" style="449" customWidth="1"/>
    <col min="10756" max="10756" width="15.5" style="449" customWidth="1"/>
    <col min="10757" max="11008" width="8.875" style="449"/>
    <col min="11009" max="11009" width="13" style="449" customWidth="1"/>
    <col min="11010" max="11010" width="39.625" style="449" customWidth="1"/>
    <col min="11011" max="11011" width="27.625" style="449" customWidth="1"/>
    <col min="11012" max="11012" width="15.5" style="449" customWidth="1"/>
    <col min="11013" max="11264" width="8.875" style="449"/>
    <col min="11265" max="11265" width="13" style="449" customWidth="1"/>
    <col min="11266" max="11266" width="39.625" style="449" customWidth="1"/>
    <col min="11267" max="11267" width="27.625" style="449" customWidth="1"/>
    <col min="11268" max="11268" width="15.5" style="449" customWidth="1"/>
    <col min="11269" max="11520" width="8.875" style="449"/>
    <col min="11521" max="11521" width="13" style="449" customWidth="1"/>
    <col min="11522" max="11522" width="39.625" style="449" customWidth="1"/>
    <col min="11523" max="11523" width="27.625" style="449" customWidth="1"/>
    <col min="11524" max="11524" width="15.5" style="449" customWidth="1"/>
    <col min="11525" max="11776" width="8.875" style="449"/>
    <col min="11777" max="11777" width="13" style="449" customWidth="1"/>
    <col min="11778" max="11778" width="39.625" style="449" customWidth="1"/>
    <col min="11779" max="11779" width="27.625" style="449" customWidth="1"/>
    <col min="11780" max="11780" width="15.5" style="449" customWidth="1"/>
    <col min="11781" max="12032" width="8.875" style="449"/>
    <col min="12033" max="12033" width="13" style="449" customWidth="1"/>
    <col min="12034" max="12034" width="39.625" style="449" customWidth="1"/>
    <col min="12035" max="12035" width="27.625" style="449" customWidth="1"/>
    <col min="12036" max="12036" width="15.5" style="449" customWidth="1"/>
    <col min="12037" max="12288" width="8.875" style="449"/>
    <col min="12289" max="12289" width="13" style="449" customWidth="1"/>
    <col min="12290" max="12290" width="39.625" style="449" customWidth="1"/>
    <col min="12291" max="12291" width="27.625" style="449" customWidth="1"/>
    <col min="12292" max="12292" width="15.5" style="449" customWidth="1"/>
    <col min="12293" max="12544" width="8.875" style="449"/>
    <col min="12545" max="12545" width="13" style="449" customWidth="1"/>
    <col min="12546" max="12546" width="39.625" style="449" customWidth="1"/>
    <col min="12547" max="12547" width="27.625" style="449" customWidth="1"/>
    <col min="12548" max="12548" width="15.5" style="449" customWidth="1"/>
    <col min="12549" max="12800" width="8.875" style="449"/>
    <col min="12801" max="12801" width="13" style="449" customWidth="1"/>
    <col min="12802" max="12802" width="39.625" style="449" customWidth="1"/>
    <col min="12803" max="12803" width="27.625" style="449" customWidth="1"/>
    <col min="12804" max="12804" width="15.5" style="449" customWidth="1"/>
    <col min="12805" max="13056" width="8.875" style="449"/>
    <col min="13057" max="13057" width="13" style="449" customWidth="1"/>
    <col min="13058" max="13058" width="39.625" style="449" customWidth="1"/>
    <col min="13059" max="13059" width="27.625" style="449" customWidth="1"/>
    <col min="13060" max="13060" width="15.5" style="449" customWidth="1"/>
    <col min="13061" max="13312" width="8.875" style="449"/>
    <col min="13313" max="13313" width="13" style="449" customWidth="1"/>
    <col min="13314" max="13314" width="39.625" style="449" customWidth="1"/>
    <col min="13315" max="13315" width="27.625" style="449" customWidth="1"/>
    <col min="13316" max="13316" width="15.5" style="449" customWidth="1"/>
    <col min="13317" max="13568" width="8.875" style="449"/>
    <col min="13569" max="13569" width="13" style="449" customWidth="1"/>
    <col min="13570" max="13570" width="39.625" style="449" customWidth="1"/>
    <col min="13571" max="13571" width="27.625" style="449" customWidth="1"/>
    <col min="13572" max="13572" width="15.5" style="449" customWidth="1"/>
    <col min="13573" max="13824" width="8.875" style="449"/>
    <col min="13825" max="13825" width="13" style="449" customWidth="1"/>
    <col min="13826" max="13826" width="39.625" style="449" customWidth="1"/>
    <col min="13827" max="13827" width="27.625" style="449" customWidth="1"/>
    <col min="13828" max="13828" width="15.5" style="449" customWidth="1"/>
    <col min="13829" max="14080" width="8.875" style="449"/>
    <col min="14081" max="14081" width="13" style="449" customWidth="1"/>
    <col min="14082" max="14082" width="39.625" style="449" customWidth="1"/>
    <col min="14083" max="14083" width="27.625" style="449" customWidth="1"/>
    <col min="14084" max="14084" width="15.5" style="449" customWidth="1"/>
    <col min="14085" max="14336" width="8.875" style="449"/>
    <col min="14337" max="14337" width="13" style="449" customWidth="1"/>
    <col min="14338" max="14338" width="39.625" style="449" customWidth="1"/>
    <col min="14339" max="14339" width="27.625" style="449" customWidth="1"/>
    <col min="14340" max="14340" width="15.5" style="449" customWidth="1"/>
    <col min="14341" max="14592" width="8.875" style="449"/>
    <col min="14593" max="14593" width="13" style="449" customWidth="1"/>
    <col min="14594" max="14594" width="39.625" style="449" customWidth="1"/>
    <col min="14595" max="14595" width="27.625" style="449" customWidth="1"/>
    <col min="14596" max="14596" width="15.5" style="449" customWidth="1"/>
    <col min="14597" max="14848" width="8.875" style="449"/>
    <col min="14849" max="14849" width="13" style="449" customWidth="1"/>
    <col min="14850" max="14850" width="39.625" style="449" customWidth="1"/>
    <col min="14851" max="14851" width="27.625" style="449" customWidth="1"/>
    <col min="14852" max="14852" width="15.5" style="449" customWidth="1"/>
    <col min="14853" max="15104" width="8.875" style="449"/>
    <col min="15105" max="15105" width="13" style="449" customWidth="1"/>
    <col min="15106" max="15106" width="39.625" style="449" customWidth="1"/>
    <col min="15107" max="15107" width="27.625" style="449" customWidth="1"/>
    <col min="15108" max="15108" width="15.5" style="449" customWidth="1"/>
    <col min="15109" max="15360" width="8.875" style="449"/>
    <col min="15361" max="15361" width="13" style="449" customWidth="1"/>
    <col min="15362" max="15362" width="39.625" style="449" customWidth="1"/>
    <col min="15363" max="15363" width="27.625" style="449" customWidth="1"/>
    <col min="15364" max="15364" width="15.5" style="449" customWidth="1"/>
    <col min="15365" max="15616" width="8.875" style="449"/>
    <col min="15617" max="15617" width="13" style="449" customWidth="1"/>
    <col min="15618" max="15618" width="39.625" style="449" customWidth="1"/>
    <col min="15619" max="15619" width="27.625" style="449" customWidth="1"/>
    <col min="15620" max="15620" width="15.5" style="449" customWidth="1"/>
    <col min="15621" max="15872" width="8.875" style="449"/>
    <col min="15873" max="15873" width="13" style="449" customWidth="1"/>
    <col min="15874" max="15874" width="39.625" style="449" customWidth="1"/>
    <col min="15875" max="15875" width="27.625" style="449" customWidth="1"/>
    <col min="15876" max="15876" width="15.5" style="449" customWidth="1"/>
    <col min="15877" max="16128" width="8.875" style="449"/>
    <col min="16129" max="16129" width="13" style="449" customWidth="1"/>
    <col min="16130" max="16130" width="39.625" style="449" customWidth="1"/>
    <col min="16131" max="16131" width="27.625" style="449" customWidth="1"/>
    <col min="16132" max="16132" width="15.5" style="449" customWidth="1"/>
    <col min="16133" max="16384" width="8.875" style="449"/>
  </cols>
  <sheetData>
    <row r="1" ht="38.25" customHeight="1" spans="1:4">
      <c r="A1" s="451" t="s">
        <v>4</v>
      </c>
      <c r="B1" s="452"/>
      <c r="C1" s="451"/>
      <c r="D1" s="451"/>
    </row>
    <row r="2" ht="25.5" customHeight="1" spans="1:3">
      <c r="A2" s="449" t="str">
        <f>设定!B3&amp;设定!C3</f>
        <v>被评估单位：江阴市金捷利制管有限公司</v>
      </c>
      <c r="C2" s="449" t="str">
        <f>物资类申报表!D2</f>
        <v>评估基准日：2022年3月17日</v>
      </c>
    </row>
    <row r="3" ht="22.5" customHeight="1" spans="1:7">
      <c r="A3" s="453" t="s">
        <v>5</v>
      </c>
      <c r="B3" s="454" t="s">
        <v>6</v>
      </c>
      <c r="C3" s="453" t="s">
        <v>7</v>
      </c>
      <c r="D3" s="453" t="s">
        <v>8</v>
      </c>
      <c r="G3" s="449" t="s">
        <v>9</v>
      </c>
    </row>
    <row r="4" ht="39" customHeight="1" spans="1:4">
      <c r="A4" s="455">
        <v>44637</v>
      </c>
      <c r="B4" s="456" t="s">
        <v>10</v>
      </c>
      <c r="C4" s="457" t="s">
        <v>11</v>
      </c>
      <c r="D4" s="458"/>
    </row>
    <row r="5" ht="48" customHeight="1" spans="1:4">
      <c r="A5" s="455" t="s">
        <v>12</v>
      </c>
      <c r="B5" s="456" t="s">
        <v>13</v>
      </c>
      <c r="C5" s="457" t="s">
        <v>11</v>
      </c>
      <c r="D5" s="458"/>
    </row>
    <row r="6" ht="39" customHeight="1" spans="1:4">
      <c r="A6" s="455">
        <v>44643</v>
      </c>
      <c r="B6" s="456" t="s">
        <v>14</v>
      </c>
      <c r="C6" s="457" t="s">
        <v>11</v>
      </c>
      <c r="D6" s="458"/>
    </row>
    <row r="7" ht="66.6" customHeight="1" spans="1:4">
      <c r="A7" s="455">
        <v>44644</v>
      </c>
      <c r="B7" s="456"/>
      <c r="C7" s="457"/>
      <c r="D7" s="458"/>
    </row>
    <row r="8" ht="66.6" customHeight="1" spans="1:4">
      <c r="A8" s="459"/>
      <c r="B8" s="456"/>
      <c r="C8" s="457"/>
      <c r="D8" s="458"/>
    </row>
    <row r="9" ht="52.15" customHeight="1" spans="1:4">
      <c r="A9" s="460" t="s">
        <v>15</v>
      </c>
      <c r="B9" s="450" t="s">
        <v>16</v>
      </c>
      <c r="C9" s="460" t="s">
        <v>17</v>
      </c>
      <c r="D9" s="461"/>
    </row>
    <row r="10" ht="35.1" customHeight="1"/>
  </sheetData>
  <mergeCells count="1">
    <mergeCell ref="A1:D1"/>
  </mergeCells>
  <printOptions horizontalCentered="1"/>
  <pageMargins left="0.354166666666667" right="0.354166666666667" top="0.786805555555556" bottom="0.590277777777778" header="0.511805555555556" footer="0.511805555555556"/>
  <pageSetup paperSize="9" scale="90" orientation="portrait"/>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62"/>
  <sheetViews>
    <sheetView topLeftCell="A31" workbookViewId="0">
      <selection activeCell="G55" sqref="G55"/>
    </sheetView>
  </sheetViews>
  <sheetFormatPr defaultColWidth="9" defaultRowHeight="13.5" outlineLevelCol="7"/>
  <cols>
    <col min="2" max="2" width="8.125" customWidth="1"/>
    <col min="3" max="3" width="25.875" customWidth="1"/>
    <col min="4" max="4" width="32.25" customWidth="1"/>
    <col min="5" max="5" width="34.25" customWidth="1"/>
    <col min="7" max="7" width="36.875" customWidth="1"/>
    <col min="8" max="8" width="11.625" customWidth="1"/>
  </cols>
  <sheetData>
    <row r="2" ht="15.75" spans="2:2">
      <c r="B2" s="7" t="s">
        <v>1238</v>
      </c>
    </row>
    <row r="3" ht="15.75" spans="2:2">
      <c r="B3" s="7" t="s">
        <v>1239</v>
      </c>
    </row>
    <row r="4" ht="14.25" spans="2:2">
      <c r="B4" s="8" t="s">
        <v>1240</v>
      </c>
    </row>
    <row r="5" ht="15.75" spans="2:2">
      <c r="B5" s="7" t="s">
        <v>1241</v>
      </c>
    </row>
    <row r="6" ht="15.75" spans="2:2">
      <c r="B6" s="7" t="s">
        <v>1242</v>
      </c>
    </row>
    <row r="7" ht="15.75" spans="2:2">
      <c r="B7" s="7" t="s">
        <v>1243</v>
      </c>
    </row>
    <row r="8" ht="14.25" spans="2:2">
      <c r="B8" s="8" t="s">
        <v>1244</v>
      </c>
    </row>
    <row r="9" ht="14.25" spans="2:2">
      <c r="B9" s="8" t="s">
        <v>1245</v>
      </c>
    </row>
    <row r="10" ht="15.75" spans="2:2">
      <c r="B10" s="8" t="s">
        <v>1246</v>
      </c>
    </row>
    <row r="11" ht="15.75" spans="2:2">
      <c r="B11" s="7" t="s">
        <v>1247</v>
      </c>
    </row>
    <row r="12" ht="15.75" spans="2:2">
      <c r="B12" s="7" t="s">
        <v>1248</v>
      </c>
    </row>
    <row r="13" ht="15.75" spans="2:2">
      <c r="B13" s="7" t="s">
        <v>1249</v>
      </c>
    </row>
    <row r="14" ht="15.75" spans="2:2">
      <c r="B14" s="7" t="s">
        <v>1250</v>
      </c>
    </row>
    <row r="15" ht="15.75" spans="2:2">
      <c r="B15" s="7" t="s">
        <v>1251</v>
      </c>
    </row>
    <row r="16" ht="15.75" spans="2:2">
      <c r="B16" s="7" t="s">
        <v>1252</v>
      </c>
    </row>
    <row r="17" ht="15.75" spans="2:2">
      <c r="B17" s="8" t="s">
        <v>1253</v>
      </c>
    </row>
    <row r="18" ht="15.75" spans="2:5">
      <c r="B18" s="9" t="s">
        <v>1254</v>
      </c>
      <c r="C18" s="9"/>
      <c r="D18" s="9"/>
      <c r="E18" s="9"/>
    </row>
    <row r="19" spans="2:5">
      <c r="B19" s="10" t="s">
        <v>20</v>
      </c>
      <c r="C19" s="10" t="s">
        <v>1255</v>
      </c>
      <c r="D19" s="10" t="s">
        <v>1256</v>
      </c>
      <c r="E19" s="10" t="s">
        <v>1257</v>
      </c>
    </row>
    <row r="20" ht="60" spans="2:5">
      <c r="B20" s="11">
        <v>1</v>
      </c>
      <c r="C20" s="10" t="s">
        <v>1258</v>
      </c>
      <c r="D20" s="12" t="s">
        <v>1259</v>
      </c>
      <c r="E20" s="12" t="s">
        <v>1260</v>
      </c>
    </row>
    <row r="21" ht="60" spans="2:5">
      <c r="B21" s="11">
        <v>2</v>
      </c>
      <c r="C21" s="10" t="s">
        <v>1261</v>
      </c>
      <c r="D21" s="13" t="s">
        <v>1262</v>
      </c>
      <c r="E21" s="12" t="s">
        <v>1263</v>
      </c>
    </row>
    <row r="22" spans="2:5">
      <c r="B22" s="11">
        <v>3</v>
      </c>
      <c r="C22" s="10" t="s">
        <v>1264</v>
      </c>
      <c r="D22" s="12" t="s">
        <v>1265</v>
      </c>
      <c r="E22" s="12" t="s">
        <v>1266</v>
      </c>
    </row>
    <row r="23" spans="2:5">
      <c r="B23" s="11">
        <v>4</v>
      </c>
      <c r="C23" s="10" t="s">
        <v>1267</v>
      </c>
      <c r="D23" s="12" t="s">
        <v>1265</v>
      </c>
      <c r="E23" s="12" t="s">
        <v>1266</v>
      </c>
    </row>
    <row r="24" spans="2:5">
      <c r="B24" s="11">
        <v>5</v>
      </c>
      <c r="C24" s="10" t="s">
        <v>1268</v>
      </c>
      <c r="D24" s="12" t="s">
        <v>1269</v>
      </c>
      <c r="E24" s="12" t="s">
        <v>1266</v>
      </c>
    </row>
    <row r="25" ht="36" spans="2:5">
      <c r="B25" s="11">
        <v>6</v>
      </c>
      <c r="C25" s="10" t="s">
        <v>1270</v>
      </c>
      <c r="D25" s="12" t="s">
        <v>1271</v>
      </c>
      <c r="E25" s="12" t="s">
        <v>1272</v>
      </c>
    </row>
    <row r="26" spans="2:5">
      <c r="B26" s="11">
        <v>7</v>
      </c>
      <c r="C26" s="10" t="s">
        <v>1273</v>
      </c>
      <c r="D26" s="12" t="s">
        <v>1265</v>
      </c>
      <c r="E26" s="12" t="s">
        <v>1266</v>
      </c>
    </row>
    <row r="27" spans="2:5">
      <c r="B27" s="11">
        <v>8</v>
      </c>
      <c r="C27" s="10" t="s">
        <v>1274</v>
      </c>
      <c r="D27" s="12" t="s">
        <v>1275</v>
      </c>
      <c r="E27" s="12" t="s">
        <v>1266</v>
      </c>
    </row>
    <row r="28" spans="2:5">
      <c r="B28" s="11">
        <v>9</v>
      </c>
      <c r="C28" s="10" t="s">
        <v>1276</v>
      </c>
      <c r="D28" s="12" t="s">
        <v>1265</v>
      </c>
      <c r="E28" s="12" t="s">
        <v>1266</v>
      </c>
    </row>
    <row r="29" spans="2:5">
      <c r="B29" s="11">
        <v>10</v>
      </c>
      <c r="C29" s="10" t="s">
        <v>1277</v>
      </c>
      <c r="D29" s="12" t="s">
        <v>1265</v>
      </c>
      <c r="E29" s="12" t="s">
        <v>1266</v>
      </c>
    </row>
    <row r="30" spans="2:5">
      <c r="B30" s="11">
        <v>11</v>
      </c>
      <c r="C30" s="10" t="s">
        <v>1278</v>
      </c>
      <c r="D30" s="12" t="s">
        <v>1279</v>
      </c>
      <c r="E30" s="12" t="s">
        <v>1266</v>
      </c>
    </row>
    <row r="31" spans="2:5">
      <c r="B31" s="11">
        <v>12</v>
      </c>
      <c r="C31" s="10" t="s">
        <v>1280</v>
      </c>
      <c r="D31" s="12" t="s">
        <v>1279</v>
      </c>
      <c r="E31" s="12" t="s">
        <v>1266</v>
      </c>
    </row>
    <row r="32" spans="2:5">
      <c r="B32" s="11">
        <v>1</v>
      </c>
      <c r="C32" s="10" t="s">
        <v>1281</v>
      </c>
      <c r="D32" s="12" t="s">
        <v>1282</v>
      </c>
      <c r="E32" s="12" t="s">
        <v>1266</v>
      </c>
    </row>
    <row r="33" spans="2:5">
      <c r="B33" s="11">
        <v>2</v>
      </c>
      <c r="C33" s="10" t="s">
        <v>1283</v>
      </c>
      <c r="D33" s="12" t="s">
        <v>1282</v>
      </c>
      <c r="E33" s="12" t="s">
        <v>1266</v>
      </c>
    </row>
    <row r="34" spans="2:5">
      <c r="B34" s="11">
        <v>15</v>
      </c>
      <c r="C34" s="10" t="s">
        <v>1284</v>
      </c>
      <c r="D34" s="14"/>
      <c r="E34" s="12" t="s">
        <v>1285</v>
      </c>
    </row>
    <row r="35" ht="15.75" spans="2:2">
      <c r="B35" s="15"/>
    </row>
    <row r="36" ht="15.75" spans="2:5">
      <c r="B36" s="9" t="s">
        <v>1286</v>
      </c>
      <c r="C36" s="9"/>
      <c r="D36" s="9"/>
      <c r="E36" s="9"/>
    </row>
    <row r="37" ht="16.5" spans="2:5">
      <c r="B37" s="16" t="s">
        <v>20</v>
      </c>
      <c r="C37" s="16" t="s">
        <v>1287</v>
      </c>
      <c r="D37" s="16" t="s">
        <v>1288</v>
      </c>
      <c r="E37" s="16" t="s">
        <v>8</v>
      </c>
    </row>
    <row r="38" ht="16.5" spans="2:8">
      <c r="B38" s="17">
        <v>1</v>
      </c>
      <c r="C38" s="18" t="s">
        <v>1274</v>
      </c>
      <c r="D38" s="17" t="s">
        <v>1289</v>
      </c>
      <c r="E38" s="16" t="s">
        <v>1290</v>
      </c>
      <c r="G38" t="s">
        <v>1274</v>
      </c>
      <c r="H38" t="s">
        <v>1291</v>
      </c>
    </row>
    <row r="39" ht="16.5" spans="2:8">
      <c r="B39" s="17">
        <v>2</v>
      </c>
      <c r="C39" s="18" t="s">
        <v>1280</v>
      </c>
      <c r="D39" s="17"/>
      <c r="E39" s="17"/>
      <c r="G39" t="s">
        <v>1292</v>
      </c>
      <c r="H39" t="s">
        <v>1293</v>
      </c>
    </row>
    <row r="40" ht="16.5" spans="2:8">
      <c r="B40" s="17"/>
      <c r="C40" s="19" t="s">
        <v>1294</v>
      </c>
      <c r="D40" s="17" t="s">
        <v>1295</v>
      </c>
      <c r="E40" s="17"/>
      <c r="G40" t="s">
        <v>1296</v>
      </c>
      <c r="H40" t="s">
        <v>1297</v>
      </c>
    </row>
    <row r="41" ht="16.5" spans="2:8">
      <c r="B41" s="17"/>
      <c r="C41" s="19" t="s">
        <v>1298</v>
      </c>
      <c r="D41" s="17"/>
      <c r="E41" s="17"/>
      <c r="G41" t="s">
        <v>432</v>
      </c>
      <c r="H41" t="s">
        <v>1299</v>
      </c>
    </row>
    <row r="42" ht="30" spans="2:8">
      <c r="B42" s="17"/>
      <c r="C42" s="18" t="s">
        <v>1300</v>
      </c>
      <c r="D42" s="17" t="s">
        <v>1301</v>
      </c>
      <c r="E42" s="17"/>
      <c r="G42" t="s">
        <v>1302</v>
      </c>
      <c r="H42" t="s">
        <v>1303</v>
      </c>
    </row>
    <row r="43" ht="16.5" spans="2:8">
      <c r="B43" s="17"/>
      <c r="C43" s="18" t="s">
        <v>1304</v>
      </c>
      <c r="D43" s="17" t="s">
        <v>1305</v>
      </c>
      <c r="E43" s="17"/>
      <c r="G43" t="s">
        <v>1306</v>
      </c>
      <c r="H43" t="s">
        <v>1307</v>
      </c>
    </row>
    <row r="44" ht="27" spans="2:8">
      <c r="B44" s="17">
        <v>3</v>
      </c>
      <c r="C44" s="18" t="s">
        <v>1302</v>
      </c>
      <c r="D44" s="17" t="s">
        <v>1308</v>
      </c>
      <c r="E44" s="16" t="s">
        <v>1290</v>
      </c>
      <c r="G44" t="s">
        <v>1309</v>
      </c>
      <c r="H44" t="s">
        <v>1310</v>
      </c>
    </row>
    <row r="45" ht="16.5" spans="2:8">
      <c r="B45" s="17">
        <v>4</v>
      </c>
      <c r="C45" s="18" t="s">
        <v>1277</v>
      </c>
      <c r="D45" s="17"/>
      <c r="E45" s="16" t="s">
        <v>1311</v>
      </c>
      <c r="G45" t="s">
        <v>1312</v>
      </c>
      <c r="H45" t="s">
        <v>1313</v>
      </c>
    </row>
    <row r="46" ht="16.5" spans="2:8">
      <c r="B46" s="17"/>
      <c r="C46" s="18" t="s">
        <v>1314</v>
      </c>
      <c r="D46" s="17" t="s">
        <v>1315</v>
      </c>
      <c r="E46" s="16"/>
      <c r="G46" t="s">
        <v>1316</v>
      </c>
      <c r="H46" t="s">
        <v>1317</v>
      </c>
    </row>
    <row r="47" ht="16.5" spans="2:8">
      <c r="B47" s="17"/>
      <c r="C47" s="18" t="s">
        <v>1318</v>
      </c>
      <c r="D47" s="17" t="s">
        <v>1319</v>
      </c>
      <c r="E47" s="16"/>
      <c r="G47" t="s">
        <v>1270</v>
      </c>
      <c r="H47" t="s">
        <v>1320</v>
      </c>
    </row>
    <row r="48" ht="16.5" spans="2:8">
      <c r="B48" s="17">
        <v>5</v>
      </c>
      <c r="C48" s="18" t="s">
        <v>1278</v>
      </c>
      <c r="D48" s="17"/>
      <c r="E48" s="16" t="s">
        <v>1321</v>
      </c>
      <c r="G48" t="s">
        <v>1273</v>
      </c>
      <c r="H48" t="s">
        <v>1322</v>
      </c>
    </row>
    <row r="49" ht="16.5" spans="2:8">
      <c r="B49" s="17"/>
      <c r="C49" s="18" t="s">
        <v>1323</v>
      </c>
      <c r="D49" s="17" t="s">
        <v>1324</v>
      </c>
      <c r="E49" s="16"/>
      <c r="G49" t="s">
        <v>1325</v>
      </c>
      <c r="H49" t="s">
        <v>1326</v>
      </c>
    </row>
    <row r="50" ht="16.5" spans="2:8">
      <c r="B50" s="17"/>
      <c r="C50" s="18" t="s">
        <v>1327</v>
      </c>
      <c r="D50" s="17" t="s">
        <v>1328</v>
      </c>
      <c r="E50" s="16"/>
      <c r="G50" t="s">
        <v>1329</v>
      </c>
      <c r="H50" t="s">
        <v>1330</v>
      </c>
    </row>
    <row r="51" ht="16.5" spans="2:8">
      <c r="B51" s="17">
        <v>6</v>
      </c>
      <c r="C51" s="18" t="s">
        <v>1270</v>
      </c>
      <c r="D51" s="17" t="s">
        <v>1331</v>
      </c>
      <c r="E51" s="16" t="s">
        <v>1332</v>
      </c>
      <c r="G51" t="s">
        <v>1258</v>
      </c>
      <c r="H51" t="s">
        <v>1333</v>
      </c>
    </row>
    <row r="52" ht="16.5" spans="2:8">
      <c r="B52" s="17">
        <v>7</v>
      </c>
      <c r="C52" s="18" t="s">
        <v>1273</v>
      </c>
      <c r="D52" s="17" t="s">
        <v>1334</v>
      </c>
      <c r="E52" s="17"/>
      <c r="G52" t="s">
        <v>1261</v>
      </c>
      <c r="H52" t="s">
        <v>1335</v>
      </c>
    </row>
    <row r="53" ht="16.5" spans="2:8">
      <c r="B53" s="17">
        <v>8</v>
      </c>
      <c r="C53" s="18" t="s">
        <v>1268</v>
      </c>
      <c r="D53" s="17"/>
      <c r="E53" s="17"/>
      <c r="G53" t="s">
        <v>1264</v>
      </c>
      <c r="H53" t="s">
        <v>1336</v>
      </c>
    </row>
    <row r="54" ht="16.5" spans="2:8">
      <c r="B54" s="17"/>
      <c r="C54" s="18" t="s">
        <v>1337</v>
      </c>
      <c r="D54" s="17" t="s">
        <v>1338</v>
      </c>
      <c r="E54" s="16" t="s">
        <v>1339</v>
      </c>
      <c r="G54" t="s">
        <v>1267</v>
      </c>
      <c r="H54" t="s">
        <v>1340</v>
      </c>
    </row>
    <row r="55" ht="16.5" spans="2:8">
      <c r="B55" s="17"/>
      <c r="C55" s="18" t="s">
        <v>1341</v>
      </c>
      <c r="D55" s="17" t="s">
        <v>1342</v>
      </c>
      <c r="E55" s="16" t="s">
        <v>1343</v>
      </c>
      <c r="G55" t="s">
        <v>1281</v>
      </c>
      <c r="H55" t="s">
        <v>1344</v>
      </c>
    </row>
    <row r="56" ht="16.5" spans="2:8">
      <c r="B56" s="17">
        <v>9</v>
      </c>
      <c r="C56" s="18" t="s">
        <v>1258</v>
      </c>
      <c r="D56" s="17" t="s">
        <v>1345</v>
      </c>
      <c r="E56" s="16" t="s">
        <v>1346</v>
      </c>
      <c r="G56" t="s">
        <v>1347</v>
      </c>
      <c r="H56" t="s">
        <v>1293</v>
      </c>
    </row>
    <row r="57" ht="16.5" spans="2:5">
      <c r="B57" s="17">
        <v>10</v>
      </c>
      <c r="C57" s="18" t="s">
        <v>1261</v>
      </c>
      <c r="D57" s="17" t="s">
        <v>1348</v>
      </c>
      <c r="E57" s="16" t="s">
        <v>1346</v>
      </c>
    </row>
    <row r="58" ht="16.5" spans="2:5">
      <c r="B58" s="17">
        <v>11</v>
      </c>
      <c r="C58" s="18" t="s">
        <v>1264</v>
      </c>
      <c r="D58" s="17" t="s">
        <v>1349</v>
      </c>
      <c r="E58" s="16" t="s">
        <v>1350</v>
      </c>
    </row>
    <row r="59" ht="16.5" spans="2:5">
      <c r="B59" s="17">
        <v>12</v>
      </c>
      <c r="C59" s="18" t="s">
        <v>1267</v>
      </c>
      <c r="D59" s="17" t="s">
        <v>1351</v>
      </c>
      <c r="E59" s="16" t="s">
        <v>1352</v>
      </c>
    </row>
    <row r="60" ht="16.5" spans="2:5">
      <c r="B60" s="17">
        <v>1</v>
      </c>
      <c r="C60" s="18" t="s">
        <v>1281</v>
      </c>
      <c r="D60" s="17" t="s">
        <v>1353</v>
      </c>
      <c r="E60" s="17"/>
    </row>
    <row r="61" ht="16.5" spans="2:5">
      <c r="B61" s="17">
        <v>2</v>
      </c>
      <c r="C61" s="18" t="s">
        <v>1347</v>
      </c>
      <c r="D61" s="17" t="s">
        <v>1295</v>
      </c>
      <c r="E61" s="16" t="s">
        <v>1354</v>
      </c>
    </row>
    <row r="62" ht="14.25" spans="2:2">
      <c r="B62" s="20" t="s">
        <v>1355</v>
      </c>
    </row>
  </sheetData>
  <mergeCells count="9">
    <mergeCell ref="B18:E18"/>
    <mergeCell ref="B36:E36"/>
    <mergeCell ref="B39:B43"/>
    <mergeCell ref="B45:B47"/>
    <mergeCell ref="B48:B50"/>
    <mergeCell ref="B53:B55"/>
    <mergeCell ref="E39:E43"/>
    <mergeCell ref="E45:E47"/>
    <mergeCell ref="E48:E50"/>
  </mergeCells>
  <pageMargins left="0.699305555555556" right="0.699305555555556"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23"/>
  <sheetViews>
    <sheetView workbookViewId="0">
      <selection activeCell="C20" sqref="C20"/>
    </sheetView>
  </sheetViews>
  <sheetFormatPr defaultColWidth="8.875" defaultRowHeight="18" customHeight="1" outlineLevelCol="3"/>
  <cols>
    <col min="1" max="1" width="8.875" style="2"/>
    <col min="2" max="2" width="8" style="2" customWidth="1"/>
    <col min="3" max="3" width="36.375" style="2" customWidth="1"/>
    <col min="4" max="4" width="12" style="2" customWidth="1"/>
    <col min="5" max="16384" width="8.875" style="2"/>
  </cols>
  <sheetData>
    <row r="2" ht="28.9" customHeight="1" spans="2:4">
      <c r="B2" s="3" t="s">
        <v>1356</v>
      </c>
      <c r="C2" s="3"/>
      <c r="D2" s="3"/>
    </row>
    <row r="3" s="1" customFormat="1" customHeight="1" spans="2:4">
      <c r="B3" s="4" t="s">
        <v>20</v>
      </c>
      <c r="C3" s="4" t="s">
        <v>72</v>
      </c>
      <c r="D3" s="4" t="s">
        <v>356</v>
      </c>
    </row>
    <row r="4" customHeight="1" spans="2:4">
      <c r="B4" s="4">
        <v>1</v>
      </c>
      <c r="C4" s="5" t="s">
        <v>1357</v>
      </c>
      <c r="D4" s="6">
        <v>0.12</v>
      </c>
    </row>
    <row r="5" customHeight="1" spans="2:4">
      <c r="B5" s="4">
        <v>2</v>
      </c>
      <c r="C5" s="5" t="s">
        <v>1358</v>
      </c>
      <c r="D5" s="6">
        <v>0.12</v>
      </c>
    </row>
    <row r="6" customHeight="1" spans="2:4">
      <c r="B6" s="4">
        <v>3</v>
      </c>
      <c r="C6" s="5" t="s">
        <v>1359</v>
      </c>
      <c r="D6" s="6">
        <v>0.12</v>
      </c>
    </row>
    <row r="7" customHeight="1" spans="2:4">
      <c r="B7" s="4">
        <v>4</v>
      </c>
      <c r="C7" s="5" t="s">
        <v>1360</v>
      </c>
      <c r="D7" s="6">
        <v>0.1</v>
      </c>
    </row>
    <row r="8" customHeight="1" spans="2:4">
      <c r="B8" s="4">
        <v>5</v>
      </c>
      <c r="C8" s="5" t="s">
        <v>1361</v>
      </c>
      <c r="D8" s="6">
        <v>0.1</v>
      </c>
    </row>
    <row r="9" customHeight="1" spans="2:4">
      <c r="B9" s="4">
        <v>6</v>
      </c>
      <c r="C9" s="5" t="s">
        <v>200</v>
      </c>
      <c r="D9" s="6">
        <v>0</v>
      </c>
    </row>
    <row r="10" customHeight="1" spans="2:4">
      <c r="B10" s="4">
        <v>7</v>
      </c>
      <c r="C10" s="5" t="s">
        <v>1362</v>
      </c>
      <c r="D10" s="6">
        <v>0.05</v>
      </c>
    </row>
    <row r="11" customHeight="1" spans="2:4">
      <c r="B11" s="4">
        <v>8</v>
      </c>
      <c r="C11" s="5" t="s">
        <v>1363</v>
      </c>
      <c r="D11" s="6">
        <v>0.08</v>
      </c>
    </row>
    <row r="12" customHeight="1" spans="2:4">
      <c r="B12" s="4">
        <v>9</v>
      </c>
      <c r="C12" s="5" t="s">
        <v>397</v>
      </c>
      <c r="D12" s="6">
        <v>0.1</v>
      </c>
    </row>
    <row r="13" customHeight="1" spans="2:4">
      <c r="B13" s="4">
        <v>10</v>
      </c>
      <c r="C13" s="5" t="s">
        <v>395</v>
      </c>
      <c r="D13" s="6">
        <v>0.15</v>
      </c>
    </row>
    <row r="14" customHeight="1" spans="2:4">
      <c r="B14" s="4">
        <v>11</v>
      </c>
      <c r="C14" s="5" t="s">
        <v>1364</v>
      </c>
      <c r="D14" s="6">
        <v>0</v>
      </c>
    </row>
    <row r="15" customHeight="1" spans="2:4">
      <c r="B15" s="4">
        <v>12</v>
      </c>
      <c r="C15" s="5" t="s">
        <v>1365</v>
      </c>
      <c r="D15" s="6">
        <v>0.1</v>
      </c>
    </row>
    <row r="16" customHeight="1" spans="2:4">
      <c r="B16" s="4">
        <v>13</v>
      </c>
      <c r="C16" s="5" t="s">
        <v>1366</v>
      </c>
      <c r="D16" s="6">
        <v>0.08</v>
      </c>
    </row>
    <row r="17" customHeight="1" spans="2:4">
      <c r="B17" s="4">
        <v>14</v>
      </c>
      <c r="C17" s="5" t="s">
        <v>1367</v>
      </c>
      <c r="D17" s="6">
        <v>0.05</v>
      </c>
    </row>
    <row r="18" customHeight="1" spans="2:4">
      <c r="B18" s="4">
        <v>15</v>
      </c>
      <c r="C18" s="5" t="s">
        <v>1368</v>
      </c>
      <c r="D18" s="6">
        <v>0.05</v>
      </c>
    </row>
    <row r="19" customHeight="1" spans="2:4">
      <c r="B19" s="4">
        <v>16</v>
      </c>
      <c r="C19" s="5" t="s">
        <v>1369</v>
      </c>
      <c r="D19" s="6">
        <v>0.12</v>
      </c>
    </row>
    <row r="20" customHeight="1" spans="2:4">
      <c r="B20" s="4">
        <v>17</v>
      </c>
      <c r="C20" s="5" t="s">
        <v>401</v>
      </c>
      <c r="D20" s="6">
        <v>0.1</v>
      </c>
    </row>
    <row r="21" customHeight="1" spans="2:4">
      <c r="B21" s="4">
        <v>18</v>
      </c>
      <c r="C21" s="5" t="s">
        <v>399</v>
      </c>
      <c r="D21" s="6">
        <v>0</v>
      </c>
    </row>
    <row r="22" customHeight="1" spans="2:4">
      <c r="B22" s="4">
        <v>19</v>
      </c>
      <c r="C22" s="5" t="s">
        <v>391</v>
      </c>
      <c r="D22" s="6">
        <v>0.07</v>
      </c>
    </row>
    <row r="23" customHeight="1" spans="2:4">
      <c r="B23" s="4">
        <v>20</v>
      </c>
      <c r="C23" s="5" t="s">
        <v>478</v>
      </c>
      <c r="D23" s="6">
        <v>0</v>
      </c>
    </row>
  </sheetData>
  <mergeCells count="1">
    <mergeCell ref="B2:D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44"/>
  <sheetViews>
    <sheetView workbookViewId="0">
      <pane ySplit="4" topLeftCell="A15" activePane="bottomLeft" state="frozen"/>
      <selection/>
      <selection pane="bottomLeft" activeCell="G23" sqref="G23"/>
    </sheetView>
  </sheetViews>
  <sheetFormatPr defaultColWidth="9" defaultRowHeight="14.25"/>
  <cols>
    <col min="1" max="1" width="5.125" style="398" customWidth="1"/>
    <col min="2" max="2" width="24.625" style="400" customWidth="1"/>
    <col min="3" max="3" width="20.5" style="400" customWidth="1"/>
    <col min="4" max="4" width="8" style="400" customWidth="1"/>
    <col min="5" max="6" width="11" style="400" customWidth="1"/>
    <col min="7" max="7" width="10.5" style="400" customWidth="1"/>
    <col min="8" max="8" width="10.75" style="400" customWidth="1"/>
    <col min="9" max="9" width="13.5" style="400" customWidth="1"/>
    <col min="10" max="10" width="13.875" style="400" customWidth="1"/>
    <col min="11" max="254" width="8.875" style="400"/>
    <col min="255" max="255" width="5.125" style="400" customWidth="1"/>
    <col min="256" max="256" width="24.625" style="400" customWidth="1"/>
    <col min="257" max="257" width="20.5" style="400" customWidth="1"/>
    <col min="258" max="258" width="8" style="400" customWidth="1"/>
    <col min="259" max="260" width="11" style="400" customWidth="1"/>
    <col min="261" max="261" width="9.5" style="400" customWidth="1"/>
    <col min="262" max="262" width="9.375" style="400" customWidth="1"/>
    <col min="263" max="263" width="8.375" style="400" customWidth="1"/>
    <col min="264" max="264" width="9.875" style="400" customWidth="1"/>
    <col min="265" max="265" width="10.125" style="400" customWidth="1"/>
    <col min="266" max="266" width="13.875" style="400" customWidth="1"/>
    <col min="267" max="510" width="8.875" style="400"/>
    <col min="511" max="511" width="5.125" style="400" customWidth="1"/>
    <col min="512" max="512" width="24.625" style="400" customWidth="1"/>
    <col min="513" max="513" width="20.5" style="400" customWidth="1"/>
    <col min="514" max="514" width="8" style="400" customWidth="1"/>
    <col min="515" max="516" width="11" style="400" customWidth="1"/>
    <col min="517" max="517" width="9.5" style="400" customWidth="1"/>
    <col min="518" max="518" width="9.375" style="400" customWidth="1"/>
    <col min="519" max="519" width="8.375" style="400" customWidth="1"/>
    <col min="520" max="520" width="9.875" style="400" customWidth="1"/>
    <col min="521" max="521" width="10.125" style="400" customWidth="1"/>
    <col min="522" max="522" width="13.875" style="400" customWidth="1"/>
    <col min="523" max="766" width="8.875" style="400"/>
    <col min="767" max="767" width="5.125" style="400" customWidth="1"/>
    <col min="768" max="768" width="24.625" style="400" customWidth="1"/>
    <col min="769" max="769" width="20.5" style="400" customWidth="1"/>
    <col min="770" max="770" width="8" style="400" customWidth="1"/>
    <col min="771" max="772" width="11" style="400" customWidth="1"/>
    <col min="773" max="773" width="9.5" style="400" customWidth="1"/>
    <col min="774" max="774" width="9.375" style="400" customWidth="1"/>
    <col min="775" max="775" width="8.375" style="400" customWidth="1"/>
    <col min="776" max="776" width="9.875" style="400" customWidth="1"/>
    <col min="777" max="777" width="10.125" style="400" customWidth="1"/>
    <col min="778" max="778" width="13.875" style="400" customWidth="1"/>
    <col min="779" max="1022" width="8.875" style="400"/>
    <col min="1023" max="1023" width="5.125" style="400" customWidth="1"/>
    <col min="1024" max="1024" width="24.625" style="400" customWidth="1"/>
    <col min="1025" max="1025" width="20.5" style="400" customWidth="1"/>
    <col min="1026" max="1026" width="8" style="400" customWidth="1"/>
    <col min="1027" max="1028" width="11" style="400" customWidth="1"/>
    <col min="1029" max="1029" width="9.5" style="400" customWidth="1"/>
    <col min="1030" max="1030" width="9.375" style="400" customWidth="1"/>
    <col min="1031" max="1031" width="8.375" style="400" customWidth="1"/>
    <col min="1032" max="1032" width="9.875" style="400" customWidth="1"/>
    <col min="1033" max="1033" width="10.125" style="400" customWidth="1"/>
    <col min="1034" max="1034" width="13.875" style="400" customWidth="1"/>
    <col min="1035" max="1278" width="8.875" style="400"/>
    <col min="1279" max="1279" width="5.125" style="400" customWidth="1"/>
    <col min="1280" max="1280" width="24.625" style="400" customWidth="1"/>
    <col min="1281" max="1281" width="20.5" style="400" customWidth="1"/>
    <col min="1282" max="1282" width="8" style="400" customWidth="1"/>
    <col min="1283" max="1284" width="11" style="400" customWidth="1"/>
    <col min="1285" max="1285" width="9.5" style="400" customWidth="1"/>
    <col min="1286" max="1286" width="9.375" style="400" customWidth="1"/>
    <col min="1287" max="1287" width="8.375" style="400" customWidth="1"/>
    <col min="1288" max="1288" width="9.875" style="400" customWidth="1"/>
    <col min="1289" max="1289" width="10.125" style="400" customWidth="1"/>
    <col min="1290" max="1290" width="13.875" style="400" customWidth="1"/>
    <col min="1291" max="1534" width="8.875" style="400"/>
    <col min="1535" max="1535" width="5.125" style="400" customWidth="1"/>
    <col min="1536" max="1536" width="24.625" style="400" customWidth="1"/>
    <col min="1537" max="1537" width="20.5" style="400" customWidth="1"/>
    <col min="1538" max="1538" width="8" style="400" customWidth="1"/>
    <col min="1539" max="1540" width="11" style="400" customWidth="1"/>
    <col min="1541" max="1541" width="9.5" style="400" customWidth="1"/>
    <col min="1542" max="1542" width="9.375" style="400" customWidth="1"/>
    <col min="1543" max="1543" width="8.375" style="400" customWidth="1"/>
    <col min="1544" max="1544" width="9.875" style="400" customWidth="1"/>
    <col min="1545" max="1545" width="10.125" style="400" customWidth="1"/>
    <col min="1546" max="1546" width="13.875" style="400" customWidth="1"/>
    <col min="1547" max="1790" width="8.875" style="400"/>
    <col min="1791" max="1791" width="5.125" style="400" customWidth="1"/>
    <col min="1792" max="1792" width="24.625" style="400" customWidth="1"/>
    <col min="1793" max="1793" width="20.5" style="400" customWidth="1"/>
    <col min="1794" max="1794" width="8" style="400" customWidth="1"/>
    <col min="1795" max="1796" width="11" style="400" customWidth="1"/>
    <col min="1797" max="1797" width="9.5" style="400" customWidth="1"/>
    <col min="1798" max="1798" width="9.375" style="400" customWidth="1"/>
    <col min="1799" max="1799" width="8.375" style="400" customWidth="1"/>
    <col min="1800" max="1800" width="9.875" style="400" customWidth="1"/>
    <col min="1801" max="1801" width="10.125" style="400" customWidth="1"/>
    <col min="1802" max="1802" width="13.875" style="400" customWidth="1"/>
    <col min="1803" max="2046" width="8.875" style="400"/>
    <col min="2047" max="2047" width="5.125" style="400" customWidth="1"/>
    <col min="2048" max="2048" width="24.625" style="400" customWidth="1"/>
    <col min="2049" max="2049" width="20.5" style="400" customWidth="1"/>
    <col min="2050" max="2050" width="8" style="400" customWidth="1"/>
    <col min="2051" max="2052" width="11" style="400" customWidth="1"/>
    <col min="2053" max="2053" width="9.5" style="400" customWidth="1"/>
    <col min="2054" max="2054" width="9.375" style="400" customWidth="1"/>
    <col min="2055" max="2055" width="8.375" style="400" customWidth="1"/>
    <col min="2056" max="2056" width="9.875" style="400" customWidth="1"/>
    <col min="2057" max="2057" width="10.125" style="400" customWidth="1"/>
    <col min="2058" max="2058" width="13.875" style="400" customWidth="1"/>
    <col min="2059" max="2302" width="8.875" style="400"/>
    <col min="2303" max="2303" width="5.125" style="400" customWidth="1"/>
    <col min="2304" max="2304" width="24.625" style="400" customWidth="1"/>
    <col min="2305" max="2305" width="20.5" style="400" customWidth="1"/>
    <col min="2306" max="2306" width="8" style="400" customWidth="1"/>
    <col min="2307" max="2308" width="11" style="400" customWidth="1"/>
    <col min="2309" max="2309" width="9.5" style="400" customWidth="1"/>
    <col min="2310" max="2310" width="9.375" style="400" customWidth="1"/>
    <col min="2311" max="2311" width="8.375" style="400" customWidth="1"/>
    <col min="2312" max="2312" width="9.875" style="400" customWidth="1"/>
    <col min="2313" max="2313" width="10.125" style="400" customWidth="1"/>
    <col min="2314" max="2314" width="13.875" style="400" customWidth="1"/>
    <col min="2315" max="2558" width="8.875" style="400"/>
    <col min="2559" max="2559" width="5.125" style="400" customWidth="1"/>
    <col min="2560" max="2560" width="24.625" style="400" customWidth="1"/>
    <col min="2561" max="2561" width="20.5" style="400" customWidth="1"/>
    <col min="2562" max="2562" width="8" style="400" customWidth="1"/>
    <col min="2563" max="2564" width="11" style="400" customWidth="1"/>
    <col min="2565" max="2565" width="9.5" style="400" customWidth="1"/>
    <col min="2566" max="2566" width="9.375" style="400" customWidth="1"/>
    <col min="2567" max="2567" width="8.375" style="400" customWidth="1"/>
    <col min="2568" max="2568" width="9.875" style="400" customWidth="1"/>
    <col min="2569" max="2569" width="10.125" style="400" customWidth="1"/>
    <col min="2570" max="2570" width="13.875" style="400" customWidth="1"/>
    <col min="2571" max="2814" width="8.875" style="400"/>
    <col min="2815" max="2815" width="5.125" style="400" customWidth="1"/>
    <col min="2816" max="2816" width="24.625" style="400" customWidth="1"/>
    <col min="2817" max="2817" width="20.5" style="400" customWidth="1"/>
    <col min="2818" max="2818" width="8" style="400" customWidth="1"/>
    <col min="2819" max="2820" width="11" style="400" customWidth="1"/>
    <col min="2821" max="2821" width="9.5" style="400" customWidth="1"/>
    <col min="2822" max="2822" width="9.375" style="400" customWidth="1"/>
    <col min="2823" max="2823" width="8.375" style="400" customWidth="1"/>
    <col min="2824" max="2824" width="9.875" style="400" customWidth="1"/>
    <col min="2825" max="2825" width="10.125" style="400" customWidth="1"/>
    <col min="2826" max="2826" width="13.875" style="400" customWidth="1"/>
    <col min="2827" max="3070" width="8.875" style="400"/>
    <col min="3071" max="3071" width="5.125" style="400" customWidth="1"/>
    <col min="3072" max="3072" width="24.625" style="400" customWidth="1"/>
    <col min="3073" max="3073" width="20.5" style="400" customWidth="1"/>
    <col min="3074" max="3074" width="8" style="400" customWidth="1"/>
    <col min="3075" max="3076" width="11" style="400" customWidth="1"/>
    <col min="3077" max="3077" width="9.5" style="400" customWidth="1"/>
    <col min="3078" max="3078" width="9.375" style="400" customWidth="1"/>
    <col min="3079" max="3079" width="8.375" style="400" customWidth="1"/>
    <col min="3080" max="3080" width="9.875" style="400" customWidth="1"/>
    <col min="3081" max="3081" width="10.125" style="400" customWidth="1"/>
    <col min="3082" max="3082" width="13.875" style="400" customWidth="1"/>
    <col min="3083" max="3326" width="8.875" style="400"/>
    <col min="3327" max="3327" width="5.125" style="400" customWidth="1"/>
    <col min="3328" max="3328" width="24.625" style="400" customWidth="1"/>
    <col min="3329" max="3329" width="20.5" style="400" customWidth="1"/>
    <col min="3330" max="3330" width="8" style="400" customWidth="1"/>
    <col min="3331" max="3332" width="11" style="400" customWidth="1"/>
    <col min="3333" max="3333" width="9.5" style="400" customWidth="1"/>
    <col min="3334" max="3334" width="9.375" style="400" customWidth="1"/>
    <col min="3335" max="3335" width="8.375" style="400" customWidth="1"/>
    <col min="3336" max="3336" width="9.875" style="400" customWidth="1"/>
    <col min="3337" max="3337" width="10.125" style="400" customWidth="1"/>
    <col min="3338" max="3338" width="13.875" style="400" customWidth="1"/>
    <col min="3339" max="3582" width="8.875" style="400"/>
    <col min="3583" max="3583" width="5.125" style="400" customWidth="1"/>
    <col min="3584" max="3584" width="24.625" style="400" customWidth="1"/>
    <col min="3585" max="3585" width="20.5" style="400" customWidth="1"/>
    <col min="3586" max="3586" width="8" style="400" customWidth="1"/>
    <col min="3587" max="3588" width="11" style="400" customWidth="1"/>
    <col min="3589" max="3589" width="9.5" style="400" customWidth="1"/>
    <col min="3590" max="3590" width="9.375" style="400" customWidth="1"/>
    <col min="3591" max="3591" width="8.375" style="400" customWidth="1"/>
    <col min="3592" max="3592" width="9.875" style="400" customWidth="1"/>
    <col min="3593" max="3593" width="10.125" style="400" customWidth="1"/>
    <col min="3594" max="3594" width="13.875" style="400" customWidth="1"/>
    <col min="3595" max="3838" width="8.875" style="400"/>
    <col min="3839" max="3839" width="5.125" style="400" customWidth="1"/>
    <col min="3840" max="3840" width="24.625" style="400" customWidth="1"/>
    <col min="3841" max="3841" width="20.5" style="400" customWidth="1"/>
    <col min="3842" max="3842" width="8" style="400" customWidth="1"/>
    <col min="3843" max="3844" width="11" style="400" customWidth="1"/>
    <col min="3845" max="3845" width="9.5" style="400" customWidth="1"/>
    <col min="3846" max="3846" width="9.375" style="400" customWidth="1"/>
    <col min="3847" max="3847" width="8.375" style="400" customWidth="1"/>
    <col min="3848" max="3848" width="9.875" style="400" customWidth="1"/>
    <col min="3849" max="3849" width="10.125" style="400" customWidth="1"/>
    <col min="3850" max="3850" width="13.875" style="400" customWidth="1"/>
    <col min="3851" max="4094" width="8.875" style="400"/>
    <col min="4095" max="4095" width="5.125" style="400" customWidth="1"/>
    <col min="4096" max="4096" width="24.625" style="400" customWidth="1"/>
    <col min="4097" max="4097" width="20.5" style="400" customWidth="1"/>
    <col min="4098" max="4098" width="8" style="400" customWidth="1"/>
    <col min="4099" max="4100" width="11" style="400" customWidth="1"/>
    <col min="4101" max="4101" width="9.5" style="400" customWidth="1"/>
    <col min="4102" max="4102" width="9.375" style="400" customWidth="1"/>
    <col min="4103" max="4103" width="8.375" style="400" customWidth="1"/>
    <col min="4104" max="4104" width="9.875" style="400" customWidth="1"/>
    <col min="4105" max="4105" width="10.125" style="400" customWidth="1"/>
    <col min="4106" max="4106" width="13.875" style="400" customWidth="1"/>
    <col min="4107" max="4350" width="8.875" style="400"/>
    <col min="4351" max="4351" width="5.125" style="400" customWidth="1"/>
    <col min="4352" max="4352" width="24.625" style="400" customWidth="1"/>
    <col min="4353" max="4353" width="20.5" style="400" customWidth="1"/>
    <col min="4354" max="4354" width="8" style="400" customWidth="1"/>
    <col min="4355" max="4356" width="11" style="400" customWidth="1"/>
    <col min="4357" max="4357" width="9.5" style="400" customWidth="1"/>
    <col min="4358" max="4358" width="9.375" style="400" customWidth="1"/>
    <col min="4359" max="4359" width="8.375" style="400" customWidth="1"/>
    <col min="4360" max="4360" width="9.875" style="400" customWidth="1"/>
    <col min="4361" max="4361" width="10.125" style="400" customWidth="1"/>
    <col min="4362" max="4362" width="13.875" style="400" customWidth="1"/>
    <col min="4363" max="4606" width="8.875" style="400"/>
    <col min="4607" max="4607" width="5.125" style="400" customWidth="1"/>
    <col min="4608" max="4608" width="24.625" style="400" customWidth="1"/>
    <col min="4609" max="4609" width="20.5" style="400" customWidth="1"/>
    <col min="4610" max="4610" width="8" style="400" customWidth="1"/>
    <col min="4611" max="4612" width="11" style="400" customWidth="1"/>
    <col min="4613" max="4613" width="9.5" style="400" customWidth="1"/>
    <col min="4614" max="4614" width="9.375" style="400" customWidth="1"/>
    <col min="4615" max="4615" width="8.375" style="400" customWidth="1"/>
    <col min="4616" max="4616" width="9.875" style="400" customWidth="1"/>
    <col min="4617" max="4617" width="10.125" style="400" customWidth="1"/>
    <col min="4618" max="4618" width="13.875" style="400" customWidth="1"/>
    <col min="4619" max="4862" width="8.875" style="400"/>
    <col min="4863" max="4863" width="5.125" style="400" customWidth="1"/>
    <col min="4864" max="4864" width="24.625" style="400" customWidth="1"/>
    <col min="4865" max="4865" width="20.5" style="400" customWidth="1"/>
    <col min="4866" max="4866" width="8" style="400" customWidth="1"/>
    <col min="4867" max="4868" width="11" style="400" customWidth="1"/>
    <col min="4869" max="4869" width="9.5" style="400" customWidth="1"/>
    <col min="4870" max="4870" width="9.375" style="400" customWidth="1"/>
    <col min="4871" max="4871" width="8.375" style="400" customWidth="1"/>
    <col min="4872" max="4872" width="9.875" style="400" customWidth="1"/>
    <col min="4873" max="4873" width="10.125" style="400" customWidth="1"/>
    <col min="4874" max="4874" width="13.875" style="400" customWidth="1"/>
    <col min="4875" max="5118" width="8.875" style="400"/>
    <col min="5119" max="5119" width="5.125" style="400" customWidth="1"/>
    <col min="5120" max="5120" width="24.625" style="400" customWidth="1"/>
    <col min="5121" max="5121" width="20.5" style="400" customWidth="1"/>
    <col min="5122" max="5122" width="8" style="400" customWidth="1"/>
    <col min="5123" max="5124" width="11" style="400" customWidth="1"/>
    <col min="5125" max="5125" width="9.5" style="400" customWidth="1"/>
    <col min="5126" max="5126" width="9.375" style="400" customWidth="1"/>
    <col min="5127" max="5127" width="8.375" style="400" customWidth="1"/>
    <col min="5128" max="5128" width="9.875" style="400" customWidth="1"/>
    <col min="5129" max="5129" width="10.125" style="400" customWidth="1"/>
    <col min="5130" max="5130" width="13.875" style="400" customWidth="1"/>
    <col min="5131" max="5374" width="8.875" style="400"/>
    <col min="5375" max="5375" width="5.125" style="400" customWidth="1"/>
    <col min="5376" max="5376" width="24.625" style="400" customWidth="1"/>
    <col min="5377" max="5377" width="20.5" style="400" customWidth="1"/>
    <col min="5378" max="5378" width="8" style="400" customWidth="1"/>
    <col min="5379" max="5380" width="11" style="400" customWidth="1"/>
    <col min="5381" max="5381" width="9.5" style="400" customWidth="1"/>
    <col min="5382" max="5382" width="9.375" style="400" customWidth="1"/>
    <col min="5383" max="5383" width="8.375" style="400" customWidth="1"/>
    <col min="5384" max="5384" width="9.875" style="400" customWidth="1"/>
    <col min="5385" max="5385" width="10.125" style="400" customWidth="1"/>
    <col min="5386" max="5386" width="13.875" style="400" customWidth="1"/>
    <col min="5387" max="5630" width="8.875" style="400"/>
    <col min="5631" max="5631" width="5.125" style="400" customWidth="1"/>
    <col min="5632" max="5632" width="24.625" style="400" customWidth="1"/>
    <col min="5633" max="5633" width="20.5" style="400" customWidth="1"/>
    <col min="5634" max="5634" width="8" style="400" customWidth="1"/>
    <col min="5635" max="5636" width="11" style="400" customWidth="1"/>
    <col min="5637" max="5637" width="9.5" style="400" customWidth="1"/>
    <col min="5638" max="5638" width="9.375" style="400" customWidth="1"/>
    <col min="5639" max="5639" width="8.375" style="400" customWidth="1"/>
    <col min="5640" max="5640" width="9.875" style="400" customWidth="1"/>
    <col min="5641" max="5641" width="10.125" style="400" customWidth="1"/>
    <col min="5642" max="5642" width="13.875" style="400" customWidth="1"/>
    <col min="5643" max="5886" width="8.875" style="400"/>
    <col min="5887" max="5887" width="5.125" style="400" customWidth="1"/>
    <col min="5888" max="5888" width="24.625" style="400" customWidth="1"/>
    <col min="5889" max="5889" width="20.5" style="400" customWidth="1"/>
    <col min="5890" max="5890" width="8" style="400" customWidth="1"/>
    <col min="5891" max="5892" width="11" style="400" customWidth="1"/>
    <col min="5893" max="5893" width="9.5" style="400" customWidth="1"/>
    <col min="5894" max="5894" width="9.375" style="400" customWidth="1"/>
    <col min="5895" max="5895" width="8.375" style="400" customWidth="1"/>
    <col min="5896" max="5896" width="9.875" style="400" customWidth="1"/>
    <col min="5897" max="5897" width="10.125" style="400" customWidth="1"/>
    <col min="5898" max="5898" width="13.875" style="400" customWidth="1"/>
    <col min="5899" max="6142" width="8.875" style="400"/>
    <col min="6143" max="6143" width="5.125" style="400" customWidth="1"/>
    <col min="6144" max="6144" width="24.625" style="400" customWidth="1"/>
    <col min="6145" max="6145" width="20.5" style="400" customWidth="1"/>
    <col min="6146" max="6146" width="8" style="400" customWidth="1"/>
    <col min="6147" max="6148" width="11" style="400" customWidth="1"/>
    <col min="6149" max="6149" width="9.5" style="400" customWidth="1"/>
    <col min="6150" max="6150" width="9.375" style="400" customWidth="1"/>
    <col min="6151" max="6151" width="8.375" style="400" customWidth="1"/>
    <col min="6152" max="6152" width="9.875" style="400" customWidth="1"/>
    <col min="6153" max="6153" width="10.125" style="400" customWidth="1"/>
    <col min="6154" max="6154" width="13.875" style="400" customWidth="1"/>
    <col min="6155" max="6398" width="8.875" style="400"/>
    <col min="6399" max="6399" width="5.125" style="400" customWidth="1"/>
    <col min="6400" max="6400" width="24.625" style="400" customWidth="1"/>
    <col min="6401" max="6401" width="20.5" style="400" customWidth="1"/>
    <col min="6402" max="6402" width="8" style="400" customWidth="1"/>
    <col min="6403" max="6404" width="11" style="400" customWidth="1"/>
    <col min="6405" max="6405" width="9.5" style="400" customWidth="1"/>
    <col min="6406" max="6406" width="9.375" style="400" customWidth="1"/>
    <col min="6407" max="6407" width="8.375" style="400" customWidth="1"/>
    <col min="6408" max="6408" width="9.875" style="400" customWidth="1"/>
    <col min="6409" max="6409" width="10.125" style="400" customWidth="1"/>
    <col min="6410" max="6410" width="13.875" style="400" customWidth="1"/>
    <col min="6411" max="6654" width="8.875" style="400"/>
    <col min="6655" max="6655" width="5.125" style="400" customWidth="1"/>
    <col min="6656" max="6656" width="24.625" style="400" customWidth="1"/>
    <col min="6657" max="6657" width="20.5" style="400" customWidth="1"/>
    <col min="6658" max="6658" width="8" style="400" customWidth="1"/>
    <col min="6659" max="6660" width="11" style="400" customWidth="1"/>
    <col min="6661" max="6661" width="9.5" style="400" customWidth="1"/>
    <col min="6662" max="6662" width="9.375" style="400" customWidth="1"/>
    <col min="6663" max="6663" width="8.375" style="400" customWidth="1"/>
    <col min="6664" max="6664" width="9.875" style="400" customWidth="1"/>
    <col min="6665" max="6665" width="10.125" style="400" customWidth="1"/>
    <col min="6666" max="6666" width="13.875" style="400" customWidth="1"/>
    <col min="6667" max="6910" width="8.875" style="400"/>
    <col min="6911" max="6911" width="5.125" style="400" customWidth="1"/>
    <col min="6912" max="6912" width="24.625" style="400" customWidth="1"/>
    <col min="6913" max="6913" width="20.5" style="400" customWidth="1"/>
    <col min="6914" max="6914" width="8" style="400" customWidth="1"/>
    <col min="6915" max="6916" width="11" style="400" customWidth="1"/>
    <col min="6917" max="6917" width="9.5" style="400" customWidth="1"/>
    <col min="6918" max="6918" width="9.375" style="400" customWidth="1"/>
    <col min="6919" max="6919" width="8.375" style="400" customWidth="1"/>
    <col min="6920" max="6920" width="9.875" style="400" customWidth="1"/>
    <col min="6921" max="6921" width="10.125" style="400" customWidth="1"/>
    <col min="6922" max="6922" width="13.875" style="400" customWidth="1"/>
    <col min="6923" max="7166" width="8.875" style="400"/>
    <col min="7167" max="7167" width="5.125" style="400" customWidth="1"/>
    <col min="7168" max="7168" width="24.625" style="400" customWidth="1"/>
    <col min="7169" max="7169" width="20.5" style="400" customWidth="1"/>
    <col min="7170" max="7170" width="8" style="400" customWidth="1"/>
    <col min="7171" max="7172" width="11" style="400" customWidth="1"/>
    <col min="7173" max="7173" width="9.5" style="400" customWidth="1"/>
    <col min="7174" max="7174" width="9.375" style="400" customWidth="1"/>
    <col min="7175" max="7175" width="8.375" style="400" customWidth="1"/>
    <col min="7176" max="7176" width="9.875" style="400" customWidth="1"/>
    <col min="7177" max="7177" width="10.125" style="400" customWidth="1"/>
    <col min="7178" max="7178" width="13.875" style="400" customWidth="1"/>
    <col min="7179" max="7422" width="8.875" style="400"/>
    <col min="7423" max="7423" width="5.125" style="400" customWidth="1"/>
    <col min="7424" max="7424" width="24.625" style="400" customWidth="1"/>
    <col min="7425" max="7425" width="20.5" style="400" customWidth="1"/>
    <col min="7426" max="7426" width="8" style="400" customWidth="1"/>
    <col min="7427" max="7428" width="11" style="400" customWidth="1"/>
    <col min="7429" max="7429" width="9.5" style="400" customWidth="1"/>
    <col min="7430" max="7430" width="9.375" style="400" customWidth="1"/>
    <col min="7431" max="7431" width="8.375" style="400" customWidth="1"/>
    <col min="7432" max="7432" width="9.875" style="400" customWidth="1"/>
    <col min="7433" max="7433" width="10.125" style="400" customWidth="1"/>
    <col min="7434" max="7434" width="13.875" style="400" customWidth="1"/>
    <col min="7435" max="7678" width="8.875" style="400"/>
    <col min="7679" max="7679" width="5.125" style="400" customWidth="1"/>
    <col min="7680" max="7680" width="24.625" style="400" customWidth="1"/>
    <col min="7681" max="7681" width="20.5" style="400" customWidth="1"/>
    <col min="7682" max="7682" width="8" style="400" customWidth="1"/>
    <col min="7683" max="7684" width="11" style="400" customWidth="1"/>
    <col min="7685" max="7685" width="9.5" style="400" customWidth="1"/>
    <col min="7686" max="7686" width="9.375" style="400" customWidth="1"/>
    <col min="7687" max="7687" width="8.375" style="400" customWidth="1"/>
    <col min="7688" max="7688" width="9.875" style="400" customWidth="1"/>
    <col min="7689" max="7689" width="10.125" style="400" customWidth="1"/>
    <col min="7690" max="7690" width="13.875" style="400" customWidth="1"/>
    <col min="7691" max="7934" width="8.875" style="400"/>
    <col min="7935" max="7935" width="5.125" style="400" customWidth="1"/>
    <col min="7936" max="7936" width="24.625" style="400" customWidth="1"/>
    <col min="7937" max="7937" width="20.5" style="400" customWidth="1"/>
    <col min="7938" max="7938" width="8" style="400" customWidth="1"/>
    <col min="7939" max="7940" width="11" style="400" customWidth="1"/>
    <col min="7941" max="7941" width="9.5" style="400" customWidth="1"/>
    <col min="7942" max="7942" width="9.375" style="400" customWidth="1"/>
    <col min="7943" max="7943" width="8.375" style="400" customWidth="1"/>
    <col min="7944" max="7944" width="9.875" style="400" customWidth="1"/>
    <col min="7945" max="7945" width="10.125" style="400" customWidth="1"/>
    <col min="7946" max="7946" width="13.875" style="400" customWidth="1"/>
    <col min="7947" max="8190" width="8.875" style="400"/>
    <col min="8191" max="8191" width="5.125" style="400" customWidth="1"/>
    <col min="8192" max="8192" width="24.625" style="400" customWidth="1"/>
    <col min="8193" max="8193" width="20.5" style="400" customWidth="1"/>
    <col min="8194" max="8194" width="8" style="400" customWidth="1"/>
    <col min="8195" max="8196" width="11" style="400" customWidth="1"/>
    <col min="8197" max="8197" width="9.5" style="400" customWidth="1"/>
    <col min="8198" max="8198" width="9.375" style="400" customWidth="1"/>
    <col min="8199" max="8199" width="8.375" style="400" customWidth="1"/>
    <col min="8200" max="8200" width="9.875" style="400" customWidth="1"/>
    <col min="8201" max="8201" width="10.125" style="400" customWidth="1"/>
    <col min="8202" max="8202" width="13.875" style="400" customWidth="1"/>
    <col min="8203" max="8446" width="8.875" style="400"/>
    <col min="8447" max="8447" width="5.125" style="400" customWidth="1"/>
    <col min="8448" max="8448" width="24.625" style="400" customWidth="1"/>
    <col min="8449" max="8449" width="20.5" style="400" customWidth="1"/>
    <col min="8450" max="8450" width="8" style="400" customWidth="1"/>
    <col min="8451" max="8452" width="11" style="400" customWidth="1"/>
    <col min="8453" max="8453" width="9.5" style="400" customWidth="1"/>
    <col min="8454" max="8454" width="9.375" style="400" customWidth="1"/>
    <col min="8455" max="8455" width="8.375" style="400" customWidth="1"/>
    <col min="8456" max="8456" width="9.875" style="400" customWidth="1"/>
    <col min="8457" max="8457" width="10.125" style="400" customWidth="1"/>
    <col min="8458" max="8458" width="13.875" style="400" customWidth="1"/>
    <col min="8459" max="8702" width="8.875" style="400"/>
    <col min="8703" max="8703" width="5.125" style="400" customWidth="1"/>
    <col min="8704" max="8704" width="24.625" style="400" customWidth="1"/>
    <col min="8705" max="8705" width="20.5" style="400" customWidth="1"/>
    <col min="8706" max="8706" width="8" style="400" customWidth="1"/>
    <col min="8707" max="8708" width="11" style="400" customWidth="1"/>
    <col min="8709" max="8709" width="9.5" style="400" customWidth="1"/>
    <col min="8710" max="8710" width="9.375" style="400" customWidth="1"/>
    <col min="8711" max="8711" width="8.375" style="400" customWidth="1"/>
    <col min="8712" max="8712" width="9.875" style="400" customWidth="1"/>
    <col min="8713" max="8713" width="10.125" style="400" customWidth="1"/>
    <col min="8714" max="8714" width="13.875" style="400" customWidth="1"/>
    <col min="8715" max="8958" width="8.875" style="400"/>
    <col min="8959" max="8959" width="5.125" style="400" customWidth="1"/>
    <col min="8960" max="8960" width="24.625" style="400" customWidth="1"/>
    <col min="8961" max="8961" width="20.5" style="400" customWidth="1"/>
    <col min="8962" max="8962" width="8" style="400" customWidth="1"/>
    <col min="8963" max="8964" width="11" style="400" customWidth="1"/>
    <col min="8965" max="8965" width="9.5" style="400" customWidth="1"/>
    <col min="8966" max="8966" width="9.375" style="400" customWidth="1"/>
    <col min="8967" max="8967" width="8.375" style="400" customWidth="1"/>
    <col min="8968" max="8968" width="9.875" style="400" customWidth="1"/>
    <col min="8969" max="8969" width="10.125" style="400" customWidth="1"/>
    <col min="8970" max="8970" width="13.875" style="400" customWidth="1"/>
    <col min="8971" max="9214" width="8.875" style="400"/>
    <col min="9215" max="9215" width="5.125" style="400" customWidth="1"/>
    <col min="9216" max="9216" width="24.625" style="400" customWidth="1"/>
    <col min="9217" max="9217" width="20.5" style="400" customWidth="1"/>
    <col min="9218" max="9218" width="8" style="400" customWidth="1"/>
    <col min="9219" max="9220" width="11" style="400" customWidth="1"/>
    <col min="9221" max="9221" width="9.5" style="400" customWidth="1"/>
    <col min="9222" max="9222" width="9.375" style="400" customWidth="1"/>
    <col min="9223" max="9223" width="8.375" style="400" customWidth="1"/>
    <col min="9224" max="9224" width="9.875" style="400" customWidth="1"/>
    <col min="9225" max="9225" width="10.125" style="400" customWidth="1"/>
    <col min="9226" max="9226" width="13.875" style="400" customWidth="1"/>
    <col min="9227" max="9470" width="8.875" style="400"/>
    <col min="9471" max="9471" width="5.125" style="400" customWidth="1"/>
    <col min="9472" max="9472" width="24.625" style="400" customWidth="1"/>
    <col min="9473" max="9473" width="20.5" style="400" customWidth="1"/>
    <col min="9474" max="9474" width="8" style="400" customWidth="1"/>
    <col min="9475" max="9476" width="11" style="400" customWidth="1"/>
    <col min="9477" max="9477" width="9.5" style="400" customWidth="1"/>
    <col min="9478" max="9478" width="9.375" style="400" customWidth="1"/>
    <col min="9479" max="9479" width="8.375" style="400" customWidth="1"/>
    <col min="9480" max="9480" width="9.875" style="400" customWidth="1"/>
    <col min="9481" max="9481" width="10.125" style="400" customWidth="1"/>
    <col min="9482" max="9482" width="13.875" style="400" customWidth="1"/>
    <col min="9483" max="9726" width="8.875" style="400"/>
    <col min="9727" max="9727" width="5.125" style="400" customWidth="1"/>
    <col min="9728" max="9728" width="24.625" style="400" customWidth="1"/>
    <col min="9729" max="9729" width="20.5" style="400" customWidth="1"/>
    <col min="9730" max="9730" width="8" style="400" customWidth="1"/>
    <col min="9731" max="9732" width="11" style="400" customWidth="1"/>
    <col min="9733" max="9733" width="9.5" style="400" customWidth="1"/>
    <col min="9734" max="9734" width="9.375" style="400" customWidth="1"/>
    <col min="9735" max="9735" width="8.375" style="400" customWidth="1"/>
    <col min="9736" max="9736" width="9.875" style="400" customWidth="1"/>
    <col min="9737" max="9737" width="10.125" style="400" customWidth="1"/>
    <col min="9738" max="9738" width="13.875" style="400" customWidth="1"/>
    <col min="9739" max="9982" width="8.875" style="400"/>
    <col min="9983" max="9983" width="5.125" style="400" customWidth="1"/>
    <col min="9984" max="9984" width="24.625" style="400" customWidth="1"/>
    <col min="9985" max="9985" width="20.5" style="400" customWidth="1"/>
    <col min="9986" max="9986" width="8" style="400" customWidth="1"/>
    <col min="9987" max="9988" width="11" style="400" customWidth="1"/>
    <col min="9989" max="9989" width="9.5" style="400" customWidth="1"/>
    <col min="9990" max="9990" width="9.375" style="400" customWidth="1"/>
    <col min="9991" max="9991" width="8.375" style="400" customWidth="1"/>
    <col min="9992" max="9992" width="9.875" style="400" customWidth="1"/>
    <col min="9993" max="9993" width="10.125" style="400" customWidth="1"/>
    <col min="9994" max="9994" width="13.875" style="400" customWidth="1"/>
    <col min="9995" max="10238" width="8.875" style="400"/>
    <col min="10239" max="10239" width="5.125" style="400" customWidth="1"/>
    <col min="10240" max="10240" width="24.625" style="400" customWidth="1"/>
    <col min="10241" max="10241" width="20.5" style="400" customWidth="1"/>
    <col min="10242" max="10242" width="8" style="400" customWidth="1"/>
    <col min="10243" max="10244" width="11" style="400" customWidth="1"/>
    <col min="10245" max="10245" width="9.5" style="400" customWidth="1"/>
    <col min="10246" max="10246" width="9.375" style="400" customWidth="1"/>
    <col min="10247" max="10247" width="8.375" style="400" customWidth="1"/>
    <col min="10248" max="10248" width="9.875" style="400" customWidth="1"/>
    <col min="10249" max="10249" width="10.125" style="400" customWidth="1"/>
    <col min="10250" max="10250" width="13.875" style="400" customWidth="1"/>
    <col min="10251" max="10494" width="8.875" style="400"/>
    <col min="10495" max="10495" width="5.125" style="400" customWidth="1"/>
    <col min="10496" max="10496" width="24.625" style="400" customWidth="1"/>
    <col min="10497" max="10497" width="20.5" style="400" customWidth="1"/>
    <col min="10498" max="10498" width="8" style="400" customWidth="1"/>
    <col min="10499" max="10500" width="11" style="400" customWidth="1"/>
    <col min="10501" max="10501" width="9.5" style="400" customWidth="1"/>
    <col min="10502" max="10502" width="9.375" style="400" customWidth="1"/>
    <col min="10503" max="10503" width="8.375" style="400" customWidth="1"/>
    <col min="10504" max="10504" width="9.875" style="400" customWidth="1"/>
    <col min="10505" max="10505" width="10.125" style="400" customWidth="1"/>
    <col min="10506" max="10506" width="13.875" style="400" customWidth="1"/>
    <col min="10507" max="10750" width="8.875" style="400"/>
    <col min="10751" max="10751" width="5.125" style="400" customWidth="1"/>
    <col min="10752" max="10752" width="24.625" style="400" customWidth="1"/>
    <col min="10753" max="10753" width="20.5" style="400" customWidth="1"/>
    <col min="10754" max="10754" width="8" style="400" customWidth="1"/>
    <col min="10755" max="10756" width="11" style="400" customWidth="1"/>
    <col min="10757" max="10757" width="9.5" style="400" customWidth="1"/>
    <col min="10758" max="10758" width="9.375" style="400" customWidth="1"/>
    <col min="10759" max="10759" width="8.375" style="400" customWidth="1"/>
    <col min="10760" max="10760" width="9.875" style="400" customWidth="1"/>
    <col min="10761" max="10761" width="10.125" style="400" customWidth="1"/>
    <col min="10762" max="10762" width="13.875" style="400" customWidth="1"/>
    <col min="10763" max="11006" width="8.875" style="400"/>
    <col min="11007" max="11007" width="5.125" style="400" customWidth="1"/>
    <col min="11008" max="11008" width="24.625" style="400" customWidth="1"/>
    <col min="11009" max="11009" width="20.5" style="400" customWidth="1"/>
    <col min="11010" max="11010" width="8" style="400" customWidth="1"/>
    <col min="11011" max="11012" width="11" style="400" customWidth="1"/>
    <col min="11013" max="11013" width="9.5" style="400" customWidth="1"/>
    <col min="11014" max="11014" width="9.375" style="400" customWidth="1"/>
    <col min="11015" max="11015" width="8.375" style="400" customWidth="1"/>
    <col min="11016" max="11016" width="9.875" style="400" customWidth="1"/>
    <col min="11017" max="11017" width="10.125" style="400" customWidth="1"/>
    <col min="11018" max="11018" width="13.875" style="400" customWidth="1"/>
    <col min="11019" max="11262" width="8.875" style="400"/>
    <col min="11263" max="11263" width="5.125" style="400" customWidth="1"/>
    <col min="11264" max="11264" width="24.625" style="400" customWidth="1"/>
    <col min="11265" max="11265" width="20.5" style="400" customWidth="1"/>
    <col min="11266" max="11266" width="8" style="400" customWidth="1"/>
    <col min="11267" max="11268" width="11" style="400" customWidth="1"/>
    <col min="11269" max="11269" width="9.5" style="400" customWidth="1"/>
    <col min="11270" max="11270" width="9.375" style="400" customWidth="1"/>
    <col min="11271" max="11271" width="8.375" style="400" customWidth="1"/>
    <col min="11272" max="11272" width="9.875" style="400" customWidth="1"/>
    <col min="11273" max="11273" width="10.125" style="400" customWidth="1"/>
    <col min="11274" max="11274" width="13.875" style="400" customWidth="1"/>
    <col min="11275" max="11518" width="8.875" style="400"/>
    <col min="11519" max="11519" width="5.125" style="400" customWidth="1"/>
    <col min="11520" max="11520" width="24.625" style="400" customWidth="1"/>
    <col min="11521" max="11521" width="20.5" style="400" customWidth="1"/>
    <col min="11522" max="11522" width="8" style="400" customWidth="1"/>
    <col min="11523" max="11524" width="11" style="400" customWidth="1"/>
    <col min="11525" max="11525" width="9.5" style="400" customWidth="1"/>
    <col min="11526" max="11526" width="9.375" style="400" customWidth="1"/>
    <col min="11527" max="11527" width="8.375" style="400" customWidth="1"/>
    <col min="11528" max="11528" width="9.875" style="400" customWidth="1"/>
    <col min="11529" max="11529" width="10.125" style="400" customWidth="1"/>
    <col min="11530" max="11530" width="13.875" style="400" customWidth="1"/>
    <col min="11531" max="11774" width="8.875" style="400"/>
    <col min="11775" max="11775" width="5.125" style="400" customWidth="1"/>
    <col min="11776" max="11776" width="24.625" style="400" customWidth="1"/>
    <col min="11777" max="11777" width="20.5" style="400" customWidth="1"/>
    <col min="11778" max="11778" width="8" style="400" customWidth="1"/>
    <col min="11779" max="11780" width="11" style="400" customWidth="1"/>
    <col min="11781" max="11781" width="9.5" style="400" customWidth="1"/>
    <col min="11782" max="11782" width="9.375" style="400" customWidth="1"/>
    <col min="11783" max="11783" width="8.375" style="400" customWidth="1"/>
    <col min="11784" max="11784" width="9.875" style="400" customWidth="1"/>
    <col min="11785" max="11785" width="10.125" style="400" customWidth="1"/>
    <col min="11786" max="11786" width="13.875" style="400" customWidth="1"/>
    <col min="11787" max="12030" width="8.875" style="400"/>
    <col min="12031" max="12031" width="5.125" style="400" customWidth="1"/>
    <col min="12032" max="12032" width="24.625" style="400" customWidth="1"/>
    <col min="12033" max="12033" width="20.5" style="400" customWidth="1"/>
    <col min="12034" max="12034" width="8" style="400" customWidth="1"/>
    <col min="12035" max="12036" width="11" style="400" customWidth="1"/>
    <col min="12037" max="12037" width="9.5" style="400" customWidth="1"/>
    <col min="12038" max="12038" width="9.375" style="400" customWidth="1"/>
    <col min="12039" max="12039" width="8.375" style="400" customWidth="1"/>
    <col min="12040" max="12040" width="9.875" style="400" customWidth="1"/>
    <col min="12041" max="12041" width="10.125" style="400" customWidth="1"/>
    <col min="12042" max="12042" width="13.875" style="400" customWidth="1"/>
    <col min="12043" max="12286" width="8.875" style="400"/>
    <col min="12287" max="12287" width="5.125" style="400" customWidth="1"/>
    <col min="12288" max="12288" width="24.625" style="400" customWidth="1"/>
    <col min="12289" max="12289" width="20.5" style="400" customWidth="1"/>
    <col min="12290" max="12290" width="8" style="400" customWidth="1"/>
    <col min="12291" max="12292" width="11" style="400" customWidth="1"/>
    <col min="12293" max="12293" width="9.5" style="400" customWidth="1"/>
    <col min="12294" max="12294" width="9.375" style="400" customWidth="1"/>
    <col min="12295" max="12295" width="8.375" style="400" customWidth="1"/>
    <col min="12296" max="12296" width="9.875" style="400" customWidth="1"/>
    <col min="12297" max="12297" width="10.125" style="400" customWidth="1"/>
    <col min="12298" max="12298" width="13.875" style="400" customWidth="1"/>
    <col min="12299" max="12542" width="8.875" style="400"/>
    <col min="12543" max="12543" width="5.125" style="400" customWidth="1"/>
    <col min="12544" max="12544" width="24.625" style="400" customWidth="1"/>
    <col min="12545" max="12545" width="20.5" style="400" customWidth="1"/>
    <col min="12546" max="12546" width="8" style="400" customWidth="1"/>
    <col min="12547" max="12548" width="11" style="400" customWidth="1"/>
    <col min="12549" max="12549" width="9.5" style="400" customWidth="1"/>
    <col min="12550" max="12550" width="9.375" style="400" customWidth="1"/>
    <col min="12551" max="12551" width="8.375" style="400" customWidth="1"/>
    <col min="12552" max="12552" width="9.875" style="400" customWidth="1"/>
    <col min="12553" max="12553" width="10.125" style="400" customWidth="1"/>
    <col min="12554" max="12554" width="13.875" style="400" customWidth="1"/>
    <col min="12555" max="12798" width="8.875" style="400"/>
    <col min="12799" max="12799" width="5.125" style="400" customWidth="1"/>
    <col min="12800" max="12800" width="24.625" style="400" customWidth="1"/>
    <col min="12801" max="12801" width="20.5" style="400" customWidth="1"/>
    <col min="12802" max="12802" width="8" style="400" customWidth="1"/>
    <col min="12803" max="12804" width="11" style="400" customWidth="1"/>
    <col min="12805" max="12805" width="9.5" style="400" customWidth="1"/>
    <col min="12806" max="12806" width="9.375" style="400" customWidth="1"/>
    <col min="12807" max="12807" width="8.375" style="400" customWidth="1"/>
    <col min="12808" max="12808" width="9.875" style="400" customWidth="1"/>
    <col min="12809" max="12809" width="10.125" style="400" customWidth="1"/>
    <col min="12810" max="12810" width="13.875" style="400" customWidth="1"/>
    <col min="12811" max="13054" width="8.875" style="400"/>
    <col min="13055" max="13055" width="5.125" style="400" customWidth="1"/>
    <col min="13056" max="13056" width="24.625" style="400" customWidth="1"/>
    <col min="13057" max="13057" width="20.5" style="400" customWidth="1"/>
    <col min="13058" max="13058" width="8" style="400" customWidth="1"/>
    <col min="13059" max="13060" width="11" style="400" customWidth="1"/>
    <col min="13061" max="13061" width="9.5" style="400" customWidth="1"/>
    <col min="13062" max="13062" width="9.375" style="400" customWidth="1"/>
    <col min="13063" max="13063" width="8.375" style="400" customWidth="1"/>
    <col min="13064" max="13064" width="9.875" style="400" customWidth="1"/>
    <col min="13065" max="13065" width="10.125" style="400" customWidth="1"/>
    <col min="13066" max="13066" width="13.875" style="400" customWidth="1"/>
    <col min="13067" max="13310" width="8.875" style="400"/>
    <col min="13311" max="13311" width="5.125" style="400" customWidth="1"/>
    <col min="13312" max="13312" width="24.625" style="400" customWidth="1"/>
    <col min="13313" max="13313" width="20.5" style="400" customWidth="1"/>
    <col min="13314" max="13314" width="8" style="400" customWidth="1"/>
    <col min="13315" max="13316" width="11" style="400" customWidth="1"/>
    <col min="13317" max="13317" width="9.5" style="400" customWidth="1"/>
    <col min="13318" max="13318" width="9.375" style="400" customWidth="1"/>
    <col min="13319" max="13319" width="8.375" style="400" customWidth="1"/>
    <col min="13320" max="13320" width="9.875" style="400" customWidth="1"/>
    <col min="13321" max="13321" width="10.125" style="400" customWidth="1"/>
    <col min="13322" max="13322" width="13.875" style="400" customWidth="1"/>
    <col min="13323" max="13566" width="8.875" style="400"/>
    <col min="13567" max="13567" width="5.125" style="400" customWidth="1"/>
    <col min="13568" max="13568" width="24.625" style="400" customWidth="1"/>
    <col min="13569" max="13569" width="20.5" style="400" customWidth="1"/>
    <col min="13570" max="13570" width="8" style="400" customWidth="1"/>
    <col min="13571" max="13572" width="11" style="400" customWidth="1"/>
    <col min="13573" max="13573" width="9.5" style="400" customWidth="1"/>
    <col min="13574" max="13574" width="9.375" style="400" customWidth="1"/>
    <col min="13575" max="13575" width="8.375" style="400" customWidth="1"/>
    <col min="13576" max="13576" width="9.875" style="400" customWidth="1"/>
    <col min="13577" max="13577" width="10.125" style="400" customWidth="1"/>
    <col min="13578" max="13578" width="13.875" style="400" customWidth="1"/>
    <col min="13579" max="13822" width="8.875" style="400"/>
    <col min="13823" max="13823" width="5.125" style="400" customWidth="1"/>
    <col min="13824" max="13824" width="24.625" style="400" customWidth="1"/>
    <col min="13825" max="13825" width="20.5" style="400" customWidth="1"/>
    <col min="13826" max="13826" width="8" style="400" customWidth="1"/>
    <col min="13827" max="13828" width="11" style="400" customWidth="1"/>
    <col min="13829" max="13829" width="9.5" style="400" customWidth="1"/>
    <col min="13830" max="13830" width="9.375" style="400" customWidth="1"/>
    <col min="13831" max="13831" width="8.375" style="400" customWidth="1"/>
    <col min="13832" max="13832" width="9.875" style="400" customWidth="1"/>
    <col min="13833" max="13833" width="10.125" style="400" customWidth="1"/>
    <col min="13834" max="13834" width="13.875" style="400" customWidth="1"/>
    <col min="13835" max="14078" width="8.875" style="400"/>
    <col min="14079" max="14079" width="5.125" style="400" customWidth="1"/>
    <col min="14080" max="14080" width="24.625" style="400" customWidth="1"/>
    <col min="14081" max="14081" width="20.5" style="400" customWidth="1"/>
    <col min="14082" max="14082" width="8" style="400" customWidth="1"/>
    <col min="14083" max="14084" width="11" style="400" customWidth="1"/>
    <col min="14085" max="14085" width="9.5" style="400" customWidth="1"/>
    <col min="14086" max="14086" width="9.375" style="400" customWidth="1"/>
    <col min="14087" max="14087" width="8.375" style="400" customWidth="1"/>
    <col min="14088" max="14088" width="9.875" style="400" customWidth="1"/>
    <col min="14089" max="14089" width="10.125" style="400" customWidth="1"/>
    <col min="14090" max="14090" width="13.875" style="400" customWidth="1"/>
    <col min="14091" max="14334" width="8.875" style="400"/>
    <col min="14335" max="14335" width="5.125" style="400" customWidth="1"/>
    <col min="14336" max="14336" width="24.625" style="400" customWidth="1"/>
    <col min="14337" max="14337" width="20.5" style="400" customWidth="1"/>
    <col min="14338" max="14338" width="8" style="400" customWidth="1"/>
    <col min="14339" max="14340" width="11" style="400" customWidth="1"/>
    <col min="14341" max="14341" width="9.5" style="400" customWidth="1"/>
    <col min="14342" max="14342" width="9.375" style="400" customWidth="1"/>
    <col min="14343" max="14343" width="8.375" style="400" customWidth="1"/>
    <col min="14344" max="14344" width="9.875" style="400" customWidth="1"/>
    <col min="14345" max="14345" width="10.125" style="400" customWidth="1"/>
    <col min="14346" max="14346" width="13.875" style="400" customWidth="1"/>
    <col min="14347" max="14590" width="8.875" style="400"/>
    <col min="14591" max="14591" width="5.125" style="400" customWidth="1"/>
    <col min="14592" max="14592" width="24.625" style="400" customWidth="1"/>
    <col min="14593" max="14593" width="20.5" style="400" customWidth="1"/>
    <col min="14594" max="14594" width="8" style="400" customWidth="1"/>
    <col min="14595" max="14596" width="11" style="400" customWidth="1"/>
    <col min="14597" max="14597" width="9.5" style="400" customWidth="1"/>
    <col min="14598" max="14598" width="9.375" style="400" customWidth="1"/>
    <col min="14599" max="14599" width="8.375" style="400" customWidth="1"/>
    <col min="14600" max="14600" width="9.875" style="400" customWidth="1"/>
    <col min="14601" max="14601" width="10.125" style="400" customWidth="1"/>
    <col min="14602" max="14602" width="13.875" style="400" customWidth="1"/>
    <col min="14603" max="14846" width="8.875" style="400"/>
    <col min="14847" max="14847" width="5.125" style="400" customWidth="1"/>
    <col min="14848" max="14848" width="24.625" style="400" customWidth="1"/>
    <col min="14849" max="14849" width="20.5" style="400" customWidth="1"/>
    <col min="14850" max="14850" width="8" style="400" customWidth="1"/>
    <col min="14851" max="14852" width="11" style="400" customWidth="1"/>
    <col min="14853" max="14853" width="9.5" style="400" customWidth="1"/>
    <col min="14854" max="14854" width="9.375" style="400" customWidth="1"/>
    <col min="14855" max="14855" width="8.375" style="400" customWidth="1"/>
    <col min="14856" max="14856" width="9.875" style="400" customWidth="1"/>
    <col min="14857" max="14857" width="10.125" style="400" customWidth="1"/>
    <col min="14858" max="14858" width="13.875" style="400" customWidth="1"/>
    <col min="14859" max="15102" width="8.875" style="400"/>
    <col min="15103" max="15103" width="5.125" style="400" customWidth="1"/>
    <col min="15104" max="15104" width="24.625" style="400" customWidth="1"/>
    <col min="15105" max="15105" width="20.5" style="400" customWidth="1"/>
    <col min="15106" max="15106" width="8" style="400" customWidth="1"/>
    <col min="15107" max="15108" width="11" style="400" customWidth="1"/>
    <col min="15109" max="15109" width="9.5" style="400" customWidth="1"/>
    <col min="15110" max="15110" width="9.375" style="400" customWidth="1"/>
    <col min="15111" max="15111" width="8.375" style="400" customWidth="1"/>
    <col min="15112" max="15112" width="9.875" style="400" customWidth="1"/>
    <col min="15113" max="15113" width="10.125" style="400" customWidth="1"/>
    <col min="15114" max="15114" width="13.875" style="400" customWidth="1"/>
    <col min="15115" max="15358" width="8.875" style="400"/>
    <col min="15359" max="15359" width="5.125" style="400" customWidth="1"/>
    <col min="15360" max="15360" width="24.625" style="400" customWidth="1"/>
    <col min="15361" max="15361" width="20.5" style="400" customWidth="1"/>
    <col min="15362" max="15362" width="8" style="400" customWidth="1"/>
    <col min="15363" max="15364" width="11" style="400" customWidth="1"/>
    <col min="15365" max="15365" width="9.5" style="400" customWidth="1"/>
    <col min="15366" max="15366" width="9.375" style="400" customWidth="1"/>
    <col min="15367" max="15367" width="8.375" style="400" customWidth="1"/>
    <col min="15368" max="15368" width="9.875" style="400" customWidth="1"/>
    <col min="15369" max="15369" width="10.125" style="400" customWidth="1"/>
    <col min="15370" max="15370" width="13.875" style="400" customWidth="1"/>
    <col min="15371" max="15614" width="8.875" style="400"/>
    <col min="15615" max="15615" width="5.125" style="400" customWidth="1"/>
    <col min="15616" max="15616" width="24.625" style="400" customWidth="1"/>
    <col min="15617" max="15617" width="20.5" style="400" customWidth="1"/>
    <col min="15618" max="15618" width="8" style="400" customWidth="1"/>
    <col min="15619" max="15620" width="11" style="400" customWidth="1"/>
    <col min="15621" max="15621" width="9.5" style="400" customWidth="1"/>
    <col min="15622" max="15622" width="9.375" style="400" customWidth="1"/>
    <col min="15623" max="15623" width="8.375" style="400" customWidth="1"/>
    <col min="15624" max="15624" width="9.875" style="400" customWidth="1"/>
    <col min="15625" max="15625" width="10.125" style="400" customWidth="1"/>
    <col min="15626" max="15626" width="13.875" style="400" customWidth="1"/>
    <col min="15627" max="15870" width="8.875" style="400"/>
    <col min="15871" max="15871" width="5.125" style="400" customWidth="1"/>
    <col min="15872" max="15872" width="24.625" style="400" customWidth="1"/>
    <col min="15873" max="15873" width="20.5" style="400" customWidth="1"/>
    <col min="15874" max="15874" width="8" style="400" customWidth="1"/>
    <col min="15875" max="15876" width="11" style="400" customWidth="1"/>
    <col min="15877" max="15877" width="9.5" style="400" customWidth="1"/>
    <col min="15878" max="15878" width="9.375" style="400" customWidth="1"/>
    <col min="15879" max="15879" width="8.375" style="400" customWidth="1"/>
    <col min="15880" max="15880" width="9.875" style="400" customWidth="1"/>
    <col min="15881" max="15881" width="10.125" style="400" customWidth="1"/>
    <col min="15882" max="15882" width="13.875" style="400" customWidth="1"/>
    <col min="15883" max="16126" width="8.875" style="400"/>
    <col min="16127" max="16127" width="5.125" style="400" customWidth="1"/>
    <col min="16128" max="16128" width="24.625" style="400" customWidth="1"/>
    <col min="16129" max="16129" width="20.5" style="400" customWidth="1"/>
    <col min="16130" max="16130" width="8" style="400" customWidth="1"/>
    <col min="16131" max="16132" width="11" style="400" customWidth="1"/>
    <col min="16133" max="16133" width="9.5" style="400" customWidth="1"/>
    <col min="16134" max="16134" width="9.375" style="400" customWidth="1"/>
    <col min="16135" max="16135" width="8.375" style="400" customWidth="1"/>
    <col min="16136" max="16136" width="9.875" style="400" customWidth="1"/>
    <col min="16137" max="16137" width="10.125" style="400" customWidth="1"/>
    <col min="16138" max="16138" width="13.875" style="400" customWidth="1"/>
    <col min="16139" max="16384" width="8.875" style="400"/>
  </cols>
  <sheetData>
    <row r="1" ht="36" customHeight="1" spans="1:10">
      <c r="A1" s="423" t="s">
        <v>18</v>
      </c>
      <c r="B1" s="423"/>
      <c r="C1" s="423"/>
      <c r="D1" s="423"/>
      <c r="E1" s="423"/>
      <c r="F1" s="423"/>
      <c r="G1" s="423"/>
      <c r="H1" s="423"/>
      <c r="I1" s="423"/>
      <c r="J1" s="423"/>
    </row>
    <row r="2" ht="18.75" customHeight="1" spans="1:10">
      <c r="A2" s="424" t="str">
        <f>设定!B3&amp;设定!C3</f>
        <v>被评估单位：江阴市金捷利制管有限公司</v>
      </c>
      <c r="B2" s="425"/>
      <c r="C2" s="425"/>
      <c r="D2" s="426" t="str">
        <f>设定!B4&amp;YEAR(设定!C4)&amp;"年"&amp;MONTH(设定!C4)&amp;"月"&amp;DAY(设定!C4)&amp;"日"</f>
        <v>评估基准日：2022年3月17日</v>
      </c>
      <c r="E2" s="426"/>
      <c r="F2" s="426"/>
      <c r="G2" s="426"/>
      <c r="H2" s="426"/>
      <c r="I2" s="426"/>
      <c r="J2" s="425" t="s">
        <v>19</v>
      </c>
    </row>
    <row r="3" s="398" customFormat="1" ht="20.1" customHeight="1" spans="1:10">
      <c r="A3" s="427" t="s">
        <v>20</v>
      </c>
      <c r="B3" s="427" t="s">
        <v>21</v>
      </c>
      <c r="C3" s="427" t="s">
        <v>22</v>
      </c>
      <c r="D3" s="430" t="s">
        <v>23</v>
      </c>
      <c r="E3" s="430" t="s">
        <v>24</v>
      </c>
      <c r="F3" s="429" t="s">
        <v>25</v>
      </c>
      <c r="G3" s="429" t="s">
        <v>26</v>
      </c>
      <c r="H3" s="430" t="s">
        <v>27</v>
      </c>
      <c r="I3" s="429" t="s">
        <v>28</v>
      </c>
      <c r="J3" s="427" t="s">
        <v>8</v>
      </c>
    </row>
    <row r="4" s="398" customFormat="1" ht="29.25" customHeight="1" spans="1:10">
      <c r="A4" s="427"/>
      <c r="B4" s="427"/>
      <c r="C4" s="427"/>
      <c r="D4" s="427"/>
      <c r="E4" s="427"/>
      <c r="F4" s="439"/>
      <c r="G4" s="439"/>
      <c r="H4" s="427"/>
      <c r="I4" s="431"/>
      <c r="J4" s="427"/>
    </row>
    <row r="5" ht="24.95" customHeight="1" spans="1:10">
      <c r="A5" s="427">
        <f>SUBTOTAL(103,$B$5:B5)</f>
        <v>1</v>
      </c>
      <c r="B5" s="436" t="s">
        <v>29</v>
      </c>
      <c r="C5" s="436" t="s">
        <v>30</v>
      </c>
      <c r="D5" s="436" t="s">
        <v>31</v>
      </c>
      <c r="E5" s="436">
        <v>98</v>
      </c>
      <c r="F5" s="436"/>
      <c r="G5" s="436">
        <f>E5</f>
        <v>98</v>
      </c>
      <c r="H5" s="436">
        <v>98</v>
      </c>
      <c r="I5" s="441" t="s">
        <v>32</v>
      </c>
      <c r="J5" s="441"/>
    </row>
    <row r="6" ht="24.95" customHeight="1" spans="1:10">
      <c r="A6" s="427">
        <f>SUBTOTAL(103,$B$5:B6)</f>
        <v>2</v>
      </c>
      <c r="B6" s="436" t="s">
        <v>33</v>
      </c>
      <c r="C6" s="436" t="s">
        <v>34</v>
      </c>
      <c r="D6" s="436" t="s">
        <v>31</v>
      </c>
      <c r="E6" s="436">
        <v>249</v>
      </c>
      <c r="F6" s="436"/>
      <c r="G6" s="436">
        <f t="shared" ref="G6:G32" si="0">E6</f>
        <v>249</v>
      </c>
      <c r="H6" s="436">
        <v>249</v>
      </c>
      <c r="I6" s="441"/>
      <c r="J6" s="441"/>
    </row>
    <row r="7" ht="24.95" customHeight="1" spans="1:10">
      <c r="A7" s="427">
        <f>SUBTOTAL(103,$B$5:B7)</f>
        <v>3</v>
      </c>
      <c r="B7" s="436" t="s">
        <v>35</v>
      </c>
      <c r="C7" s="436"/>
      <c r="D7" s="436" t="s">
        <v>36</v>
      </c>
      <c r="E7" s="436">
        <v>25</v>
      </c>
      <c r="F7" s="436"/>
      <c r="G7" s="436">
        <f t="shared" si="0"/>
        <v>25</v>
      </c>
      <c r="H7" s="436"/>
      <c r="I7" s="441"/>
      <c r="J7" s="441"/>
    </row>
    <row r="8" ht="24.95" customHeight="1" spans="1:10">
      <c r="A8" s="427">
        <f>SUBTOTAL(103,$B$5:B8)</f>
        <v>4</v>
      </c>
      <c r="B8" s="436" t="s">
        <v>37</v>
      </c>
      <c r="C8" s="436"/>
      <c r="D8" s="436" t="s">
        <v>38</v>
      </c>
      <c r="E8" s="436">
        <v>49</v>
      </c>
      <c r="F8" s="436"/>
      <c r="G8" s="436">
        <f t="shared" si="0"/>
        <v>49</v>
      </c>
      <c r="H8" s="436"/>
      <c r="I8" s="441"/>
      <c r="J8" s="441"/>
    </row>
    <row r="9" ht="24.95" customHeight="1" spans="1:10">
      <c r="A9" s="427">
        <f>SUBTOTAL(103,$B$5:B9)</f>
        <v>5</v>
      </c>
      <c r="B9" s="436" t="s">
        <v>39</v>
      </c>
      <c r="C9" s="436"/>
      <c r="D9" s="436" t="s">
        <v>38</v>
      </c>
      <c r="E9" s="436">
        <v>80</v>
      </c>
      <c r="F9" s="436"/>
      <c r="G9" s="436">
        <f t="shared" si="0"/>
        <v>80</v>
      </c>
      <c r="H9" s="436"/>
      <c r="I9" s="441"/>
      <c r="J9" s="441"/>
    </row>
    <row r="10" ht="24.95" customHeight="1" spans="1:10">
      <c r="A10" s="427">
        <f>SUBTOTAL(103,$B$5:B10)</f>
        <v>6</v>
      </c>
      <c r="B10" s="436" t="s">
        <v>40</v>
      </c>
      <c r="C10" s="436"/>
      <c r="D10" s="436" t="s">
        <v>36</v>
      </c>
      <c r="E10" s="436">
        <v>12</v>
      </c>
      <c r="F10" s="436"/>
      <c r="G10" s="436">
        <f t="shared" si="0"/>
        <v>12</v>
      </c>
      <c r="H10" s="436"/>
      <c r="I10" s="441"/>
      <c r="J10" s="441"/>
    </row>
    <row r="11" ht="24.95" customHeight="1" spans="1:10">
      <c r="A11" s="427">
        <f>SUBTOTAL(103,$B$5:B11)</f>
        <v>7</v>
      </c>
      <c r="B11" s="436" t="s">
        <v>41</v>
      </c>
      <c r="C11" s="436" t="s">
        <v>30</v>
      </c>
      <c r="D11" s="436" t="s">
        <v>42</v>
      </c>
      <c r="E11" s="436">
        <v>42</v>
      </c>
      <c r="F11" s="436"/>
      <c r="G11" s="436">
        <f t="shared" si="0"/>
        <v>42</v>
      </c>
      <c r="H11" s="436"/>
      <c r="I11" s="441"/>
      <c r="J11" s="441"/>
    </row>
    <row r="12" ht="24.95" customHeight="1" spans="1:10">
      <c r="A12" s="427">
        <f>SUBTOTAL(103,$B$5:B12)</f>
        <v>8</v>
      </c>
      <c r="B12" s="436" t="s">
        <v>43</v>
      </c>
      <c r="C12" s="436"/>
      <c r="D12" s="436" t="s">
        <v>44</v>
      </c>
      <c r="E12" s="436">
        <v>1</v>
      </c>
      <c r="F12" s="436"/>
      <c r="G12" s="436">
        <f t="shared" si="0"/>
        <v>1</v>
      </c>
      <c r="H12" s="436"/>
      <c r="I12" s="441"/>
      <c r="J12" s="441"/>
    </row>
    <row r="13" ht="24.95" customHeight="1" spans="1:10">
      <c r="A13" s="427">
        <f>SUBTOTAL(103,$B$5:B13)</f>
        <v>9</v>
      </c>
      <c r="B13" s="436" t="s">
        <v>45</v>
      </c>
      <c r="C13" s="436"/>
      <c r="D13" s="436" t="s">
        <v>46</v>
      </c>
      <c r="E13" s="436">
        <v>5</v>
      </c>
      <c r="F13" s="436"/>
      <c r="G13" s="436">
        <f t="shared" si="0"/>
        <v>5</v>
      </c>
      <c r="H13" s="436"/>
      <c r="I13" s="441"/>
      <c r="J13" s="441"/>
    </row>
    <row r="14" ht="24.95" customHeight="1" spans="1:10">
      <c r="A14" s="427">
        <f>SUBTOTAL(103,$B$5:B14)</f>
        <v>10</v>
      </c>
      <c r="B14" s="436" t="s">
        <v>47</v>
      </c>
      <c r="C14" s="436"/>
      <c r="D14" s="436" t="s">
        <v>48</v>
      </c>
      <c r="E14" s="436">
        <v>8</v>
      </c>
      <c r="F14" s="436"/>
      <c r="G14" s="436">
        <f t="shared" si="0"/>
        <v>8</v>
      </c>
      <c r="H14" s="436"/>
      <c r="I14" s="441"/>
      <c r="J14" s="441"/>
    </row>
    <row r="15" ht="24.95" customHeight="1" spans="1:10">
      <c r="A15" s="427">
        <f>SUBTOTAL(103,$B$5:B15)</f>
        <v>11</v>
      </c>
      <c r="B15" s="436" t="s">
        <v>49</v>
      </c>
      <c r="C15" s="436"/>
      <c r="D15" s="436" t="s">
        <v>46</v>
      </c>
      <c r="E15" s="436">
        <v>9</v>
      </c>
      <c r="F15" s="436"/>
      <c r="G15" s="436">
        <f t="shared" si="0"/>
        <v>9</v>
      </c>
      <c r="H15" s="436"/>
      <c r="I15" s="441"/>
      <c r="J15" s="441"/>
    </row>
    <row r="16" ht="24.95" customHeight="1" spans="1:10">
      <c r="A16" s="427">
        <f>SUBTOTAL(103,$B$5:B16)</f>
        <v>12</v>
      </c>
      <c r="B16" s="436" t="s">
        <v>50</v>
      </c>
      <c r="C16" s="436"/>
      <c r="D16" s="436" t="s">
        <v>42</v>
      </c>
      <c r="E16" s="436">
        <v>1</v>
      </c>
      <c r="F16" s="436"/>
      <c r="G16" s="436">
        <f t="shared" si="0"/>
        <v>1</v>
      </c>
      <c r="H16" s="436"/>
      <c r="I16" s="441"/>
      <c r="J16" s="441"/>
    </row>
    <row r="17" ht="24.95" customHeight="1" spans="1:10">
      <c r="A17" s="427">
        <f>SUBTOTAL(103,$B$5:B17)</f>
        <v>13</v>
      </c>
      <c r="B17" s="436" t="s">
        <v>51</v>
      </c>
      <c r="C17" s="436"/>
      <c r="D17" s="436" t="s">
        <v>42</v>
      </c>
      <c r="E17" s="436">
        <v>8</v>
      </c>
      <c r="F17" s="436"/>
      <c r="G17" s="436">
        <f t="shared" si="0"/>
        <v>8</v>
      </c>
      <c r="H17" s="436"/>
      <c r="I17" s="441"/>
      <c r="J17" s="441"/>
    </row>
    <row r="18" ht="24.95" customHeight="1" spans="1:10">
      <c r="A18" s="427">
        <f>SUBTOTAL(103,$B$5:B18)</f>
        <v>14</v>
      </c>
      <c r="B18" s="436" t="s">
        <v>52</v>
      </c>
      <c r="C18" s="436"/>
      <c r="D18" s="436" t="s">
        <v>36</v>
      </c>
      <c r="E18" s="436">
        <v>5</v>
      </c>
      <c r="F18" s="436"/>
      <c r="G18" s="436">
        <f t="shared" si="0"/>
        <v>5</v>
      </c>
      <c r="H18" s="436"/>
      <c r="I18" s="441"/>
      <c r="J18" s="441"/>
    </row>
    <row r="19" ht="24.95" customHeight="1" spans="1:10">
      <c r="A19" s="427">
        <f>SUBTOTAL(103,$B$5:B19)</f>
        <v>15</v>
      </c>
      <c r="B19" s="436" t="s">
        <v>53</v>
      </c>
      <c r="C19" s="436"/>
      <c r="D19" s="436" t="s">
        <v>36</v>
      </c>
      <c r="E19" s="436">
        <v>2</v>
      </c>
      <c r="F19" s="436"/>
      <c r="G19" s="436">
        <f t="shared" si="0"/>
        <v>2</v>
      </c>
      <c r="H19" s="436"/>
      <c r="I19" s="441"/>
      <c r="J19" s="441"/>
    </row>
    <row r="20" ht="24.95" customHeight="1" spans="1:10">
      <c r="A20" s="427">
        <f>SUBTOTAL(103,$B$5:B20)</f>
        <v>16</v>
      </c>
      <c r="B20" s="436" t="s">
        <v>54</v>
      </c>
      <c r="C20" s="436"/>
      <c r="D20" s="436" t="s">
        <v>36</v>
      </c>
      <c r="E20" s="436">
        <v>2</v>
      </c>
      <c r="F20" s="436"/>
      <c r="G20" s="436">
        <f t="shared" si="0"/>
        <v>2</v>
      </c>
      <c r="H20" s="436"/>
      <c r="I20" s="441"/>
      <c r="J20" s="441"/>
    </row>
    <row r="21" ht="24.95" customHeight="1" spans="1:10">
      <c r="A21" s="427">
        <f>SUBTOTAL(103,$B$5:B21)</f>
        <v>17</v>
      </c>
      <c r="B21" s="436" t="s">
        <v>55</v>
      </c>
      <c r="C21" s="436"/>
      <c r="D21" s="436" t="s">
        <v>36</v>
      </c>
      <c r="E21" s="436">
        <v>3</v>
      </c>
      <c r="F21" s="436"/>
      <c r="G21" s="436">
        <f t="shared" si="0"/>
        <v>3</v>
      </c>
      <c r="H21" s="436"/>
      <c r="I21" s="441"/>
      <c r="J21" s="441"/>
    </row>
    <row r="22" ht="24.95" customHeight="1" spans="1:11">
      <c r="A22" s="427">
        <f>SUBTOTAL(103,$B$5:B22)</f>
        <v>18</v>
      </c>
      <c r="B22" s="436" t="s">
        <v>56</v>
      </c>
      <c r="C22" s="436"/>
      <c r="D22" s="436" t="s">
        <v>31</v>
      </c>
      <c r="E22" s="436">
        <v>2</v>
      </c>
      <c r="F22" s="436"/>
      <c r="G22" s="436">
        <f t="shared" si="0"/>
        <v>2</v>
      </c>
      <c r="H22" s="436">
        <v>2</v>
      </c>
      <c r="I22" s="441"/>
      <c r="J22" s="441"/>
      <c r="K22" s="400" t="s">
        <v>57</v>
      </c>
    </row>
    <row r="23" ht="24.95" customHeight="1" spans="1:10">
      <c r="A23" s="427">
        <f>SUBTOTAL(103,$B$5:B23)</f>
        <v>19</v>
      </c>
      <c r="B23" s="436" t="s">
        <v>58</v>
      </c>
      <c r="C23" s="436"/>
      <c r="D23" s="436" t="s">
        <v>59</v>
      </c>
      <c r="E23" s="436">
        <v>1</v>
      </c>
      <c r="F23" s="436"/>
      <c r="G23" s="436">
        <f t="shared" si="0"/>
        <v>1</v>
      </c>
      <c r="H23" s="436"/>
      <c r="I23" s="441"/>
      <c r="J23" s="441"/>
    </row>
    <row r="24" ht="24.95" customHeight="1" spans="1:10">
      <c r="A24" s="427">
        <f>SUBTOTAL(103,$B$5:B24)</f>
        <v>20</v>
      </c>
      <c r="B24" s="436" t="s">
        <v>60</v>
      </c>
      <c r="C24" s="436"/>
      <c r="D24" s="436" t="s">
        <v>61</v>
      </c>
      <c r="E24" s="436">
        <v>10</v>
      </c>
      <c r="F24" s="436"/>
      <c r="G24" s="436">
        <f t="shared" si="0"/>
        <v>10</v>
      </c>
      <c r="H24" s="436"/>
      <c r="I24" s="441"/>
      <c r="J24" s="441"/>
    </row>
    <row r="25" ht="24.95" customHeight="1" spans="1:10">
      <c r="A25" s="427">
        <f>SUBTOTAL(103,$B$5:B25)</f>
        <v>21</v>
      </c>
      <c r="B25" s="436" t="s">
        <v>39</v>
      </c>
      <c r="C25" s="436"/>
      <c r="D25" s="436" t="s">
        <v>38</v>
      </c>
      <c r="E25" s="436">
        <v>87</v>
      </c>
      <c r="F25" s="436"/>
      <c r="G25" s="436">
        <f t="shared" si="0"/>
        <v>87</v>
      </c>
      <c r="H25" s="436"/>
      <c r="I25" s="441"/>
      <c r="J25" s="441"/>
    </row>
    <row r="26" ht="24.95" customHeight="1" spans="1:10">
      <c r="A26" s="427">
        <f>SUBTOTAL(103,$B$5:B26)</f>
        <v>22</v>
      </c>
      <c r="B26" s="436" t="s">
        <v>62</v>
      </c>
      <c r="C26" s="436"/>
      <c r="D26" s="436" t="s">
        <v>36</v>
      </c>
      <c r="E26" s="436">
        <v>6</v>
      </c>
      <c r="F26" s="436"/>
      <c r="G26" s="436">
        <f t="shared" si="0"/>
        <v>6</v>
      </c>
      <c r="H26" s="436"/>
      <c r="I26" s="441"/>
      <c r="J26" s="441"/>
    </row>
    <row r="27" ht="24.95" customHeight="1" spans="1:10">
      <c r="A27" s="427">
        <f>SUBTOTAL(103,$B$5:B27)</f>
        <v>23</v>
      </c>
      <c r="B27" s="436" t="s">
        <v>63</v>
      </c>
      <c r="C27" s="436"/>
      <c r="D27" s="436" t="s">
        <v>36</v>
      </c>
      <c r="E27" s="436">
        <v>10</v>
      </c>
      <c r="F27" s="436"/>
      <c r="G27" s="436">
        <f t="shared" si="0"/>
        <v>10</v>
      </c>
      <c r="H27" s="436"/>
      <c r="I27" s="441"/>
      <c r="J27" s="441"/>
    </row>
    <row r="28" ht="24.95" customHeight="1" spans="1:10">
      <c r="A28" s="427">
        <f>SUBTOTAL(103,$B$5:B28)</f>
        <v>24</v>
      </c>
      <c r="B28" s="436" t="s">
        <v>64</v>
      </c>
      <c r="C28" s="436"/>
      <c r="D28" s="436" t="s">
        <v>59</v>
      </c>
      <c r="E28" s="436">
        <v>1</v>
      </c>
      <c r="F28" s="436"/>
      <c r="G28" s="436">
        <f t="shared" si="0"/>
        <v>1</v>
      </c>
      <c r="H28" s="436"/>
      <c r="I28" s="441"/>
      <c r="J28" s="441"/>
    </row>
    <row r="29" ht="24.95" customHeight="1" spans="1:10">
      <c r="A29" s="427">
        <f>SUBTOTAL(103,$B$5:B29)</f>
        <v>25</v>
      </c>
      <c r="B29" s="436" t="s">
        <v>65</v>
      </c>
      <c r="C29" s="436"/>
      <c r="D29" s="436" t="s">
        <v>31</v>
      </c>
      <c r="E29" s="436">
        <v>2</v>
      </c>
      <c r="F29" s="436"/>
      <c r="G29" s="436">
        <f t="shared" si="0"/>
        <v>2</v>
      </c>
      <c r="H29" s="436">
        <v>2</v>
      </c>
      <c r="I29" s="441"/>
      <c r="J29" s="441"/>
    </row>
    <row r="30" ht="24.95" customHeight="1" spans="1:10">
      <c r="A30" s="427">
        <f>SUBTOTAL(103,$B$5:B30)</f>
        <v>26</v>
      </c>
      <c r="B30" s="438" t="s">
        <v>66</v>
      </c>
      <c r="C30" s="427"/>
      <c r="D30" s="438" t="s">
        <v>36</v>
      </c>
      <c r="E30" s="446">
        <v>3</v>
      </c>
      <c r="F30" s="427"/>
      <c r="G30" s="436">
        <f t="shared" si="0"/>
        <v>3</v>
      </c>
      <c r="H30" s="427"/>
      <c r="I30" s="427"/>
      <c r="J30" s="427"/>
    </row>
    <row r="31" ht="24.95" customHeight="1" spans="1:10">
      <c r="A31" s="427">
        <f>SUBTOTAL(103,$B$5:B31)</f>
        <v>27</v>
      </c>
      <c r="B31" s="438" t="s">
        <v>67</v>
      </c>
      <c r="C31" s="427"/>
      <c r="D31" s="438" t="s">
        <v>36</v>
      </c>
      <c r="E31" s="446">
        <v>1</v>
      </c>
      <c r="F31" s="427"/>
      <c r="G31" s="436">
        <f t="shared" si="0"/>
        <v>1</v>
      </c>
      <c r="H31" s="427"/>
      <c r="I31" s="427"/>
      <c r="J31" s="427"/>
    </row>
    <row r="32" ht="24.95" customHeight="1" spans="1:10">
      <c r="A32" s="427">
        <f>SUBTOTAL(103,$B$5:B32)</f>
        <v>28</v>
      </c>
      <c r="B32" s="438" t="s">
        <v>68</v>
      </c>
      <c r="C32" s="427"/>
      <c r="D32" s="438" t="s">
        <v>36</v>
      </c>
      <c r="E32" s="446">
        <v>5</v>
      </c>
      <c r="F32" s="427"/>
      <c r="G32" s="436">
        <f t="shared" si="0"/>
        <v>5</v>
      </c>
      <c r="H32" s="427"/>
      <c r="I32" s="427"/>
      <c r="J32" s="427"/>
    </row>
    <row r="33" ht="24.95" customHeight="1" spans="1:10">
      <c r="A33" s="438">
        <f>SUBTOTAL(103,$B$5:B33)</f>
        <v>29</v>
      </c>
      <c r="B33" s="438" t="s">
        <v>69</v>
      </c>
      <c r="C33" s="438"/>
      <c r="D33" s="438" t="s">
        <v>31</v>
      </c>
      <c r="E33" s="446">
        <v>8</v>
      </c>
      <c r="F33" s="427"/>
      <c r="G33" s="436">
        <v>8</v>
      </c>
      <c r="H33" s="438"/>
      <c r="I33" s="438"/>
      <c r="J33" s="438"/>
    </row>
    <row r="34" ht="24.95" customHeight="1" spans="1:10">
      <c r="A34" s="427"/>
      <c r="B34" s="427"/>
      <c r="C34" s="427"/>
      <c r="D34" s="427"/>
      <c r="E34" s="427"/>
      <c r="F34" s="427"/>
      <c r="G34" s="427"/>
      <c r="H34" s="427"/>
      <c r="I34" s="427"/>
      <c r="J34" s="427"/>
    </row>
    <row r="35" ht="24.95" customHeight="1" spans="1:10">
      <c r="A35" s="427"/>
      <c r="B35" s="427"/>
      <c r="C35" s="427"/>
      <c r="D35" s="427"/>
      <c r="E35" s="427"/>
      <c r="F35" s="427"/>
      <c r="G35" s="427"/>
      <c r="H35" s="427"/>
      <c r="I35" s="427"/>
      <c r="J35" s="427"/>
    </row>
    <row r="36" ht="24.95" customHeight="1" spans="1:10">
      <c r="A36" s="427"/>
      <c r="B36" s="427"/>
      <c r="C36" s="427"/>
      <c r="D36" s="427"/>
      <c r="E36" s="427"/>
      <c r="F36" s="427"/>
      <c r="G36" s="427"/>
      <c r="H36" s="427"/>
      <c r="I36" s="427"/>
      <c r="J36" s="427"/>
    </row>
    <row r="37" ht="24.95" customHeight="1" spans="1:10">
      <c r="A37" s="444"/>
      <c r="B37" s="447"/>
      <c r="C37" s="436"/>
      <c r="D37" s="436"/>
      <c r="E37" s="436"/>
      <c r="F37" s="436"/>
      <c r="G37" s="436"/>
      <c r="H37" s="436"/>
      <c r="I37" s="441"/>
      <c r="J37" s="441"/>
    </row>
    <row r="38" ht="24.95" customHeight="1" spans="1:10">
      <c r="A38" s="444"/>
      <c r="B38" s="447"/>
      <c r="C38" s="436"/>
      <c r="D38" s="436"/>
      <c r="E38" s="436"/>
      <c r="F38" s="436"/>
      <c r="G38" s="436"/>
      <c r="H38" s="436"/>
      <c r="I38" s="441"/>
      <c r="J38" s="441"/>
    </row>
    <row r="39" ht="24.95" customHeight="1" spans="1:10">
      <c r="A39" s="444"/>
      <c r="B39" s="447"/>
      <c r="C39" s="436"/>
      <c r="D39" s="436"/>
      <c r="E39" s="436"/>
      <c r="F39" s="436"/>
      <c r="G39" s="436"/>
      <c r="H39" s="436"/>
      <c r="I39" s="441"/>
      <c r="J39" s="441"/>
    </row>
    <row r="40" ht="24.95" customHeight="1" spans="1:10">
      <c r="A40" s="444"/>
      <c r="B40" s="447"/>
      <c r="C40" s="436"/>
      <c r="D40" s="436"/>
      <c r="E40" s="436"/>
      <c r="F40" s="436"/>
      <c r="G40" s="436"/>
      <c r="H40" s="436"/>
      <c r="I40" s="441"/>
      <c r="J40" s="441"/>
    </row>
    <row r="41" ht="24.95" customHeight="1" spans="1:10">
      <c r="A41" s="444"/>
      <c r="B41" s="447"/>
      <c r="C41" s="436"/>
      <c r="D41" s="436"/>
      <c r="E41" s="436"/>
      <c r="F41" s="436"/>
      <c r="G41" s="436"/>
      <c r="H41" s="436"/>
      <c r="I41" s="441"/>
      <c r="J41" s="441"/>
    </row>
    <row r="42" ht="24.95" customHeight="1" spans="1:10">
      <c r="A42" s="444" t="s">
        <v>70</v>
      </c>
      <c r="B42" s="448"/>
      <c r="C42" s="436"/>
      <c r="D42" s="436"/>
      <c r="E42" s="436"/>
      <c r="F42" s="436"/>
      <c r="G42" s="436"/>
      <c r="H42" s="436"/>
      <c r="I42" s="441"/>
      <c r="J42" s="441"/>
    </row>
    <row r="43" ht="23.25" customHeight="1" spans="1:1">
      <c r="A43" s="399" t="str">
        <f>"申报人签字："&amp;设定!C3</f>
        <v>申报人签字：江阴市金捷利制管有限公司</v>
      </c>
    </row>
    <row r="44" ht="23.25" customHeight="1" spans="1:2">
      <c r="A44" t="str">
        <f>"申报日期："&amp;TEXT(设定!C4,"e-m-d")</f>
        <v>申报日期：2022-3-17</v>
      </c>
      <c r="B44"/>
    </row>
  </sheetData>
  <mergeCells count="13">
    <mergeCell ref="A1:J1"/>
    <mergeCell ref="D2:I2"/>
    <mergeCell ref="A42:B42"/>
    <mergeCell ref="A3:A4"/>
    <mergeCell ref="B3:B4"/>
    <mergeCell ref="C3:C4"/>
    <mergeCell ref="D3:D4"/>
    <mergeCell ref="E3:E4"/>
    <mergeCell ref="F3:F4"/>
    <mergeCell ref="G3:G4"/>
    <mergeCell ref="H3:H4"/>
    <mergeCell ref="I3:I4"/>
    <mergeCell ref="J3:J4"/>
  </mergeCells>
  <printOptions horizontalCentered="1"/>
  <pageMargins left="0.354166666666667" right="0.354166666666667" top="0.786805555555556" bottom="0.590277777777778" header="0.511805555555556" footer="0.511805555555556"/>
  <pageSetup paperSize="9" orientation="landscape" horizontalDpi="6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P85"/>
  <sheetViews>
    <sheetView topLeftCell="A19" workbookViewId="0">
      <selection activeCell="H15" sqref="H15"/>
    </sheetView>
  </sheetViews>
  <sheetFormatPr defaultColWidth="9" defaultRowHeight="14.25"/>
  <cols>
    <col min="1" max="1" width="5.125" style="398" customWidth="1"/>
    <col min="2" max="2" width="26.125" style="400" customWidth="1"/>
    <col min="3" max="3" width="19.75" style="400" customWidth="1"/>
    <col min="4" max="4" width="19.125" style="400" customWidth="1"/>
    <col min="5" max="5" width="10.5" style="400" customWidth="1"/>
    <col min="6" max="6" width="8" style="400" customWidth="1"/>
    <col min="7" max="7" width="5.5" style="400" customWidth="1"/>
    <col min="8" max="8" width="8.75" style="400" customWidth="1"/>
    <col min="9" max="9" width="14.125" style="400" customWidth="1"/>
    <col min="10" max="10" width="13.875" style="399" customWidth="1"/>
    <col min="11" max="11" width="13.875" style="400" customWidth="1"/>
    <col min="12" max="252" width="8.875" style="400"/>
    <col min="253" max="253" width="5.125" style="400" customWidth="1"/>
    <col min="254" max="254" width="22.875" style="400" customWidth="1"/>
    <col min="255" max="255" width="22.75" style="400" customWidth="1"/>
    <col min="256" max="256" width="19.125" style="400" customWidth="1"/>
    <col min="257" max="257" width="8.5" style="400" customWidth="1"/>
    <col min="258" max="258" width="8" style="400" customWidth="1"/>
    <col min="259" max="259" width="5.5" style="400" customWidth="1"/>
    <col min="260" max="260" width="8.75" style="400" customWidth="1"/>
    <col min="261" max="261" width="17.625" style="400" customWidth="1"/>
    <col min="262" max="262" width="7.25" style="400" customWidth="1"/>
    <col min="263" max="263" width="5.5" style="400" customWidth="1"/>
    <col min="264" max="264" width="6.625" style="400" customWidth="1"/>
    <col min="265" max="265" width="8.375" style="400" customWidth="1"/>
    <col min="266" max="266" width="7.75" style="400" customWidth="1"/>
    <col min="267" max="267" width="13.875" style="400" customWidth="1"/>
    <col min="268" max="508" width="8.875" style="400"/>
    <col min="509" max="509" width="5.125" style="400" customWidth="1"/>
    <col min="510" max="510" width="22.875" style="400" customWidth="1"/>
    <col min="511" max="511" width="22.75" style="400" customWidth="1"/>
    <col min="512" max="512" width="19.125" style="400" customWidth="1"/>
    <col min="513" max="513" width="8.5" style="400" customWidth="1"/>
    <col min="514" max="514" width="8" style="400" customWidth="1"/>
    <col min="515" max="515" width="5.5" style="400" customWidth="1"/>
    <col min="516" max="516" width="8.75" style="400" customWidth="1"/>
    <col min="517" max="517" width="17.625" style="400" customWidth="1"/>
    <col min="518" max="518" width="7.25" style="400" customWidth="1"/>
    <col min="519" max="519" width="5.5" style="400" customWidth="1"/>
    <col min="520" max="520" width="6.625" style="400" customWidth="1"/>
    <col min="521" max="521" width="8.375" style="400" customWidth="1"/>
    <col min="522" max="522" width="7.75" style="400" customWidth="1"/>
    <col min="523" max="523" width="13.875" style="400" customWidth="1"/>
    <col min="524" max="764" width="8.875" style="400"/>
    <col min="765" max="765" width="5.125" style="400" customWidth="1"/>
    <col min="766" max="766" width="22.875" style="400" customWidth="1"/>
    <col min="767" max="767" width="22.75" style="400" customWidth="1"/>
    <col min="768" max="768" width="19.125" style="400" customWidth="1"/>
    <col min="769" max="769" width="8.5" style="400" customWidth="1"/>
    <col min="770" max="770" width="8" style="400" customWidth="1"/>
    <col min="771" max="771" width="5.5" style="400" customWidth="1"/>
    <col min="772" max="772" width="8.75" style="400" customWidth="1"/>
    <col min="773" max="773" width="17.625" style="400" customWidth="1"/>
    <col min="774" max="774" width="7.25" style="400" customWidth="1"/>
    <col min="775" max="775" width="5.5" style="400" customWidth="1"/>
    <col min="776" max="776" width="6.625" style="400" customWidth="1"/>
    <col min="777" max="777" width="8.375" style="400" customWidth="1"/>
    <col min="778" max="778" width="7.75" style="400" customWidth="1"/>
    <col min="779" max="779" width="13.875" style="400" customWidth="1"/>
    <col min="780" max="1020" width="8.875" style="400"/>
    <col min="1021" max="1021" width="5.125" style="400" customWidth="1"/>
    <col min="1022" max="1022" width="22.875" style="400" customWidth="1"/>
    <col min="1023" max="1023" width="22.75" style="400" customWidth="1"/>
    <col min="1024" max="1024" width="19.125" style="400" customWidth="1"/>
    <col min="1025" max="1025" width="8.5" style="400" customWidth="1"/>
    <col min="1026" max="1026" width="8" style="400" customWidth="1"/>
    <col min="1027" max="1027" width="5.5" style="400" customWidth="1"/>
    <col min="1028" max="1028" width="8.75" style="400" customWidth="1"/>
    <col min="1029" max="1029" width="17.625" style="400" customWidth="1"/>
    <col min="1030" max="1030" width="7.25" style="400" customWidth="1"/>
    <col min="1031" max="1031" width="5.5" style="400" customWidth="1"/>
    <col min="1032" max="1032" width="6.625" style="400" customWidth="1"/>
    <col min="1033" max="1033" width="8.375" style="400" customWidth="1"/>
    <col min="1034" max="1034" width="7.75" style="400" customWidth="1"/>
    <col min="1035" max="1035" width="13.875" style="400" customWidth="1"/>
    <col min="1036" max="1276" width="8.875" style="400"/>
    <col min="1277" max="1277" width="5.125" style="400" customWidth="1"/>
    <col min="1278" max="1278" width="22.875" style="400" customWidth="1"/>
    <col min="1279" max="1279" width="22.75" style="400" customWidth="1"/>
    <col min="1280" max="1280" width="19.125" style="400" customWidth="1"/>
    <col min="1281" max="1281" width="8.5" style="400" customWidth="1"/>
    <col min="1282" max="1282" width="8" style="400" customWidth="1"/>
    <col min="1283" max="1283" width="5.5" style="400" customWidth="1"/>
    <col min="1284" max="1284" width="8.75" style="400" customWidth="1"/>
    <col min="1285" max="1285" width="17.625" style="400" customWidth="1"/>
    <col min="1286" max="1286" width="7.25" style="400" customWidth="1"/>
    <col min="1287" max="1287" width="5.5" style="400" customWidth="1"/>
    <col min="1288" max="1288" width="6.625" style="400" customWidth="1"/>
    <col min="1289" max="1289" width="8.375" style="400" customWidth="1"/>
    <col min="1290" max="1290" width="7.75" style="400" customWidth="1"/>
    <col min="1291" max="1291" width="13.875" style="400" customWidth="1"/>
    <col min="1292" max="1532" width="8.875" style="400"/>
    <col min="1533" max="1533" width="5.125" style="400" customWidth="1"/>
    <col min="1534" max="1534" width="22.875" style="400" customWidth="1"/>
    <col min="1535" max="1535" width="22.75" style="400" customWidth="1"/>
    <col min="1536" max="1536" width="19.125" style="400" customWidth="1"/>
    <col min="1537" max="1537" width="8.5" style="400" customWidth="1"/>
    <col min="1538" max="1538" width="8" style="400" customWidth="1"/>
    <col min="1539" max="1539" width="5.5" style="400" customWidth="1"/>
    <col min="1540" max="1540" width="8.75" style="400" customWidth="1"/>
    <col min="1541" max="1541" width="17.625" style="400" customWidth="1"/>
    <col min="1542" max="1542" width="7.25" style="400" customWidth="1"/>
    <col min="1543" max="1543" width="5.5" style="400" customWidth="1"/>
    <col min="1544" max="1544" width="6.625" style="400" customWidth="1"/>
    <col min="1545" max="1545" width="8.375" style="400" customWidth="1"/>
    <col min="1546" max="1546" width="7.75" style="400" customWidth="1"/>
    <col min="1547" max="1547" width="13.875" style="400" customWidth="1"/>
    <col min="1548" max="1788" width="8.875" style="400"/>
    <col min="1789" max="1789" width="5.125" style="400" customWidth="1"/>
    <col min="1790" max="1790" width="22.875" style="400" customWidth="1"/>
    <col min="1791" max="1791" width="22.75" style="400" customWidth="1"/>
    <col min="1792" max="1792" width="19.125" style="400" customWidth="1"/>
    <col min="1793" max="1793" width="8.5" style="400" customWidth="1"/>
    <col min="1794" max="1794" width="8" style="400" customWidth="1"/>
    <col min="1795" max="1795" width="5.5" style="400" customWidth="1"/>
    <col min="1796" max="1796" width="8.75" style="400" customWidth="1"/>
    <col min="1797" max="1797" width="17.625" style="400" customWidth="1"/>
    <col min="1798" max="1798" width="7.25" style="400" customWidth="1"/>
    <col min="1799" max="1799" width="5.5" style="400" customWidth="1"/>
    <col min="1800" max="1800" width="6.625" style="400" customWidth="1"/>
    <col min="1801" max="1801" width="8.375" style="400" customWidth="1"/>
    <col min="1802" max="1802" width="7.75" style="400" customWidth="1"/>
    <col min="1803" max="1803" width="13.875" style="400" customWidth="1"/>
    <col min="1804" max="2044" width="8.875" style="400"/>
    <col min="2045" max="2045" width="5.125" style="400" customWidth="1"/>
    <col min="2046" max="2046" width="22.875" style="400" customWidth="1"/>
    <col min="2047" max="2047" width="22.75" style="400" customWidth="1"/>
    <col min="2048" max="2048" width="19.125" style="400" customWidth="1"/>
    <col min="2049" max="2049" width="8.5" style="400" customWidth="1"/>
    <col min="2050" max="2050" width="8" style="400" customWidth="1"/>
    <col min="2051" max="2051" width="5.5" style="400" customWidth="1"/>
    <col min="2052" max="2052" width="8.75" style="400" customWidth="1"/>
    <col min="2053" max="2053" width="17.625" style="400" customWidth="1"/>
    <col min="2054" max="2054" width="7.25" style="400" customWidth="1"/>
    <col min="2055" max="2055" width="5.5" style="400" customWidth="1"/>
    <col min="2056" max="2056" width="6.625" style="400" customWidth="1"/>
    <col min="2057" max="2057" width="8.375" style="400" customWidth="1"/>
    <col min="2058" max="2058" width="7.75" style="400" customWidth="1"/>
    <col min="2059" max="2059" width="13.875" style="400" customWidth="1"/>
    <col min="2060" max="2300" width="8.875" style="400"/>
    <col min="2301" max="2301" width="5.125" style="400" customWidth="1"/>
    <col min="2302" max="2302" width="22.875" style="400" customWidth="1"/>
    <col min="2303" max="2303" width="22.75" style="400" customWidth="1"/>
    <col min="2304" max="2304" width="19.125" style="400" customWidth="1"/>
    <col min="2305" max="2305" width="8.5" style="400" customWidth="1"/>
    <col min="2306" max="2306" width="8" style="400" customWidth="1"/>
    <col min="2307" max="2307" width="5.5" style="400" customWidth="1"/>
    <col min="2308" max="2308" width="8.75" style="400" customWidth="1"/>
    <col min="2309" max="2309" width="17.625" style="400" customWidth="1"/>
    <col min="2310" max="2310" width="7.25" style="400" customWidth="1"/>
    <col min="2311" max="2311" width="5.5" style="400" customWidth="1"/>
    <col min="2312" max="2312" width="6.625" style="400" customWidth="1"/>
    <col min="2313" max="2313" width="8.375" style="400" customWidth="1"/>
    <col min="2314" max="2314" width="7.75" style="400" customWidth="1"/>
    <col min="2315" max="2315" width="13.875" style="400" customWidth="1"/>
    <col min="2316" max="2556" width="8.875" style="400"/>
    <col min="2557" max="2557" width="5.125" style="400" customWidth="1"/>
    <col min="2558" max="2558" width="22.875" style="400" customWidth="1"/>
    <col min="2559" max="2559" width="22.75" style="400" customWidth="1"/>
    <col min="2560" max="2560" width="19.125" style="400" customWidth="1"/>
    <col min="2561" max="2561" width="8.5" style="400" customWidth="1"/>
    <col min="2562" max="2562" width="8" style="400" customWidth="1"/>
    <col min="2563" max="2563" width="5.5" style="400" customWidth="1"/>
    <col min="2564" max="2564" width="8.75" style="400" customWidth="1"/>
    <col min="2565" max="2565" width="17.625" style="400" customWidth="1"/>
    <col min="2566" max="2566" width="7.25" style="400" customWidth="1"/>
    <col min="2567" max="2567" width="5.5" style="400" customWidth="1"/>
    <col min="2568" max="2568" width="6.625" style="400" customWidth="1"/>
    <col min="2569" max="2569" width="8.375" style="400" customWidth="1"/>
    <col min="2570" max="2570" width="7.75" style="400" customWidth="1"/>
    <col min="2571" max="2571" width="13.875" style="400" customWidth="1"/>
    <col min="2572" max="2812" width="8.875" style="400"/>
    <col min="2813" max="2813" width="5.125" style="400" customWidth="1"/>
    <col min="2814" max="2814" width="22.875" style="400" customWidth="1"/>
    <col min="2815" max="2815" width="22.75" style="400" customWidth="1"/>
    <col min="2816" max="2816" width="19.125" style="400" customWidth="1"/>
    <col min="2817" max="2817" width="8.5" style="400" customWidth="1"/>
    <col min="2818" max="2818" width="8" style="400" customWidth="1"/>
    <col min="2819" max="2819" width="5.5" style="400" customWidth="1"/>
    <col min="2820" max="2820" width="8.75" style="400" customWidth="1"/>
    <col min="2821" max="2821" width="17.625" style="400" customWidth="1"/>
    <col min="2822" max="2822" width="7.25" style="400" customWidth="1"/>
    <col min="2823" max="2823" width="5.5" style="400" customWidth="1"/>
    <col min="2824" max="2824" width="6.625" style="400" customWidth="1"/>
    <col min="2825" max="2825" width="8.375" style="400" customWidth="1"/>
    <col min="2826" max="2826" width="7.75" style="400" customWidth="1"/>
    <col min="2827" max="2827" width="13.875" style="400" customWidth="1"/>
    <col min="2828" max="3068" width="8.875" style="400"/>
    <col min="3069" max="3069" width="5.125" style="400" customWidth="1"/>
    <col min="3070" max="3070" width="22.875" style="400" customWidth="1"/>
    <col min="3071" max="3071" width="22.75" style="400" customWidth="1"/>
    <col min="3072" max="3072" width="19.125" style="400" customWidth="1"/>
    <col min="3073" max="3073" width="8.5" style="400" customWidth="1"/>
    <col min="3074" max="3074" width="8" style="400" customWidth="1"/>
    <col min="3075" max="3075" width="5.5" style="400" customWidth="1"/>
    <col min="3076" max="3076" width="8.75" style="400" customWidth="1"/>
    <col min="3077" max="3077" width="17.625" style="400" customWidth="1"/>
    <col min="3078" max="3078" width="7.25" style="400" customWidth="1"/>
    <col min="3079" max="3079" width="5.5" style="400" customWidth="1"/>
    <col min="3080" max="3080" width="6.625" style="400" customWidth="1"/>
    <col min="3081" max="3081" width="8.375" style="400" customWidth="1"/>
    <col min="3082" max="3082" width="7.75" style="400" customWidth="1"/>
    <col min="3083" max="3083" width="13.875" style="400" customWidth="1"/>
    <col min="3084" max="3324" width="8.875" style="400"/>
    <col min="3325" max="3325" width="5.125" style="400" customWidth="1"/>
    <col min="3326" max="3326" width="22.875" style="400" customWidth="1"/>
    <col min="3327" max="3327" width="22.75" style="400" customWidth="1"/>
    <col min="3328" max="3328" width="19.125" style="400" customWidth="1"/>
    <col min="3329" max="3329" width="8.5" style="400" customWidth="1"/>
    <col min="3330" max="3330" width="8" style="400" customWidth="1"/>
    <col min="3331" max="3331" width="5.5" style="400" customWidth="1"/>
    <col min="3332" max="3332" width="8.75" style="400" customWidth="1"/>
    <col min="3333" max="3333" width="17.625" style="400" customWidth="1"/>
    <col min="3334" max="3334" width="7.25" style="400" customWidth="1"/>
    <col min="3335" max="3335" width="5.5" style="400" customWidth="1"/>
    <col min="3336" max="3336" width="6.625" style="400" customWidth="1"/>
    <col min="3337" max="3337" width="8.375" style="400" customWidth="1"/>
    <col min="3338" max="3338" width="7.75" style="400" customWidth="1"/>
    <col min="3339" max="3339" width="13.875" style="400" customWidth="1"/>
    <col min="3340" max="3580" width="8.875" style="400"/>
    <col min="3581" max="3581" width="5.125" style="400" customWidth="1"/>
    <col min="3582" max="3582" width="22.875" style="400" customWidth="1"/>
    <col min="3583" max="3583" width="22.75" style="400" customWidth="1"/>
    <col min="3584" max="3584" width="19.125" style="400" customWidth="1"/>
    <col min="3585" max="3585" width="8.5" style="400" customWidth="1"/>
    <col min="3586" max="3586" width="8" style="400" customWidth="1"/>
    <col min="3587" max="3587" width="5.5" style="400" customWidth="1"/>
    <col min="3588" max="3588" width="8.75" style="400" customWidth="1"/>
    <col min="3589" max="3589" width="17.625" style="400" customWidth="1"/>
    <col min="3590" max="3590" width="7.25" style="400" customWidth="1"/>
    <col min="3591" max="3591" width="5.5" style="400" customWidth="1"/>
    <col min="3592" max="3592" width="6.625" style="400" customWidth="1"/>
    <col min="3593" max="3593" width="8.375" style="400" customWidth="1"/>
    <col min="3594" max="3594" width="7.75" style="400" customWidth="1"/>
    <col min="3595" max="3595" width="13.875" style="400" customWidth="1"/>
    <col min="3596" max="3836" width="8.875" style="400"/>
    <col min="3837" max="3837" width="5.125" style="400" customWidth="1"/>
    <col min="3838" max="3838" width="22.875" style="400" customWidth="1"/>
    <col min="3839" max="3839" width="22.75" style="400" customWidth="1"/>
    <col min="3840" max="3840" width="19.125" style="400" customWidth="1"/>
    <col min="3841" max="3841" width="8.5" style="400" customWidth="1"/>
    <col min="3842" max="3842" width="8" style="400" customWidth="1"/>
    <col min="3843" max="3843" width="5.5" style="400" customWidth="1"/>
    <col min="3844" max="3844" width="8.75" style="400" customWidth="1"/>
    <col min="3845" max="3845" width="17.625" style="400" customWidth="1"/>
    <col min="3846" max="3846" width="7.25" style="400" customWidth="1"/>
    <col min="3847" max="3847" width="5.5" style="400" customWidth="1"/>
    <col min="3848" max="3848" width="6.625" style="400" customWidth="1"/>
    <col min="3849" max="3849" width="8.375" style="400" customWidth="1"/>
    <col min="3850" max="3850" width="7.75" style="400" customWidth="1"/>
    <col min="3851" max="3851" width="13.875" style="400" customWidth="1"/>
    <col min="3852" max="4092" width="8.875" style="400"/>
    <col min="4093" max="4093" width="5.125" style="400" customWidth="1"/>
    <col min="4094" max="4094" width="22.875" style="400" customWidth="1"/>
    <col min="4095" max="4095" width="22.75" style="400" customWidth="1"/>
    <col min="4096" max="4096" width="19.125" style="400" customWidth="1"/>
    <col min="4097" max="4097" width="8.5" style="400" customWidth="1"/>
    <col min="4098" max="4098" width="8" style="400" customWidth="1"/>
    <col min="4099" max="4099" width="5.5" style="400" customWidth="1"/>
    <col min="4100" max="4100" width="8.75" style="400" customWidth="1"/>
    <col min="4101" max="4101" width="17.625" style="400" customWidth="1"/>
    <col min="4102" max="4102" width="7.25" style="400" customWidth="1"/>
    <col min="4103" max="4103" width="5.5" style="400" customWidth="1"/>
    <col min="4104" max="4104" width="6.625" style="400" customWidth="1"/>
    <col min="4105" max="4105" width="8.375" style="400" customWidth="1"/>
    <col min="4106" max="4106" width="7.75" style="400" customWidth="1"/>
    <col min="4107" max="4107" width="13.875" style="400" customWidth="1"/>
    <col min="4108" max="4348" width="8.875" style="400"/>
    <col min="4349" max="4349" width="5.125" style="400" customWidth="1"/>
    <col min="4350" max="4350" width="22.875" style="400" customWidth="1"/>
    <col min="4351" max="4351" width="22.75" style="400" customWidth="1"/>
    <col min="4352" max="4352" width="19.125" style="400" customWidth="1"/>
    <col min="4353" max="4353" width="8.5" style="400" customWidth="1"/>
    <col min="4354" max="4354" width="8" style="400" customWidth="1"/>
    <col min="4355" max="4355" width="5.5" style="400" customWidth="1"/>
    <col min="4356" max="4356" width="8.75" style="400" customWidth="1"/>
    <col min="4357" max="4357" width="17.625" style="400" customWidth="1"/>
    <col min="4358" max="4358" width="7.25" style="400" customWidth="1"/>
    <col min="4359" max="4359" width="5.5" style="400" customWidth="1"/>
    <col min="4360" max="4360" width="6.625" style="400" customWidth="1"/>
    <col min="4361" max="4361" width="8.375" style="400" customWidth="1"/>
    <col min="4362" max="4362" width="7.75" style="400" customWidth="1"/>
    <col min="4363" max="4363" width="13.875" style="400" customWidth="1"/>
    <col min="4364" max="4604" width="8.875" style="400"/>
    <col min="4605" max="4605" width="5.125" style="400" customWidth="1"/>
    <col min="4606" max="4606" width="22.875" style="400" customWidth="1"/>
    <col min="4607" max="4607" width="22.75" style="400" customWidth="1"/>
    <col min="4608" max="4608" width="19.125" style="400" customWidth="1"/>
    <col min="4609" max="4609" width="8.5" style="400" customWidth="1"/>
    <col min="4610" max="4610" width="8" style="400" customWidth="1"/>
    <col min="4611" max="4611" width="5.5" style="400" customWidth="1"/>
    <col min="4612" max="4612" width="8.75" style="400" customWidth="1"/>
    <col min="4613" max="4613" width="17.625" style="400" customWidth="1"/>
    <col min="4614" max="4614" width="7.25" style="400" customWidth="1"/>
    <col min="4615" max="4615" width="5.5" style="400" customWidth="1"/>
    <col min="4616" max="4616" width="6.625" style="400" customWidth="1"/>
    <col min="4617" max="4617" width="8.375" style="400" customWidth="1"/>
    <col min="4618" max="4618" width="7.75" style="400" customWidth="1"/>
    <col min="4619" max="4619" width="13.875" style="400" customWidth="1"/>
    <col min="4620" max="4860" width="8.875" style="400"/>
    <col min="4861" max="4861" width="5.125" style="400" customWidth="1"/>
    <col min="4862" max="4862" width="22.875" style="400" customWidth="1"/>
    <col min="4863" max="4863" width="22.75" style="400" customWidth="1"/>
    <col min="4864" max="4864" width="19.125" style="400" customWidth="1"/>
    <col min="4865" max="4865" width="8.5" style="400" customWidth="1"/>
    <col min="4866" max="4866" width="8" style="400" customWidth="1"/>
    <col min="4867" max="4867" width="5.5" style="400" customWidth="1"/>
    <col min="4868" max="4868" width="8.75" style="400" customWidth="1"/>
    <col min="4869" max="4869" width="17.625" style="400" customWidth="1"/>
    <col min="4870" max="4870" width="7.25" style="400" customWidth="1"/>
    <col min="4871" max="4871" width="5.5" style="400" customWidth="1"/>
    <col min="4872" max="4872" width="6.625" style="400" customWidth="1"/>
    <col min="4873" max="4873" width="8.375" style="400" customWidth="1"/>
    <col min="4874" max="4874" width="7.75" style="400" customWidth="1"/>
    <col min="4875" max="4875" width="13.875" style="400" customWidth="1"/>
    <col min="4876" max="5116" width="8.875" style="400"/>
    <col min="5117" max="5117" width="5.125" style="400" customWidth="1"/>
    <col min="5118" max="5118" width="22.875" style="400" customWidth="1"/>
    <col min="5119" max="5119" width="22.75" style="400" customWidth="1"/>
    <col min="5120" max="5120" width="19.125" style="400" customWidth="1"/>
    <col min="5121" max="5121" width="8.5" style="400" customWidth="1"/>
    <col min="5122" max="5122" width="8" style="400" customWidth="1"/>
    <col min="5123" max="5123" width="5.5" style="400" customWidth="1"/>
    <col min="5124" max="5124" width="8.75" style="400" customWidth="1"/>
    <col min="5125" max="5125" width="17.625" style="400" customWidth="1"/>
    <col min="5126" max="5126" width="7.25" style="400" customWidth="1"/>
    <col min="5127" max="5127" width="5.5" style="400" customWidth="1"/>
    <col min="5128" max="5128" width="6.625" style="400" customWidth="1"/>
    <col min="5129" max="5129" width="8.375" style="400" customWidth="1"/>
    <col min="5130" max="5130" width="7.75" style="400" customWidth="1"/>
    <col min="5131" max="5131" width="13.875" style="400" customWidth="1"/>
    <col min="5132" max="5372" width="8.875" style="400"/>
    <col min="5373" max="5373" width="5.125" style="400" customWidth="1"/>
    <col min="5374" max="5374" width="22.875" style="400" customWidth="1"/>
    <col min="5375" max="5375" width="22.75" style="400" customWidth="1"/>
    <col min="5376" max="5376" width="19.125" style="400" customWidth="1"/>
    <col min="5377" max="5377" width="8.5" style="400" customWidth="1"/>
    <col min="5378" max="5378" width="8" style="400" customWidth="1"/>
    <col min="5379" max="5379" width="5.5" style="400" customWidth="1"/>
    <col min="5380" max="5380" width="8.75" style="400" customWidth="1"/>
    <col min="5381" max="5381" width="17.625" style="400" customWidth="1"/>
    <col min="5382" max="5382" width="7.25" style="400" customWidth="1"/>
    <col min="5383" max="5383" width="5.5" style="400" customWidth="1"/>
    <col min="5384" max="5384" width="6.625" style="400" customWidth="1"/>
    <col min="5385" max="5385" width="8.375" style="400" customWidth="1"/>
    <col min="5386" max="5386" width="7.75" style="400" customWidth="1"/>
    <col min="5387" max="5387" width="13.875" style="400" customWidth="1"/>
    <col min="5388" max="5628" width="8.875" style="400"/>
    <col min="5629" max="5629" width="5.125" style="400" customWidth="1"/>
    <col min="5630" max="5630" width="22.875" style="400" customWidth="1"/>
    <col min="5631" max="5631" width="22.75" style="400" customWidth="1"/>
    <col min="5632" max="5632" width="19.125" style="400" customWidth="1"/>
    <col min="5633" max="5633" width="8.5" style="400" customWidth="1"/>
    <col min="5634" max="5634" width="8" style="400" customWidth="1"/>
    <col min="5635" max="5635" width="5.5" style="400" customWidth="1"/>
    <col min="5636" max="5636" width="8.75" style="400" customWidth="1"/>
    <col min="5637" max="5637" width="17.625" style="400" customWidth="1"/>
    <col min="5638" max="5638" width="7.25" style="400" customWidth="1"/>
    <col min="5639" max="5639" width="5.5" style="400" customWidth="1"/>
    <col min="5640" max="5640" width="6.625" style="400" customWidth="1"/>
    <col min="5641" max="5641" width="8.375" style="400" customWidth="1"/>
    <col min="5642" max="5642" width="7.75" style="400" customWidth="1"/>
    <col min="5643" max="5643" width="13.875" style="400" customWidth="1"/>
    <col min="5644" max="5884" width="8.875" style="400"/>
    <col min="5885" max="5885" width="5.125" style="400" customWidth="1"/>
    <col min="5886" max="5886" width="22.875" style="400" customWidth="1"/>
    <col min="5887" max="5887" width="22.75" style="400" customWidth="1"/>
    <col min="5888" max="5888" width="19.125" style="400" customWidth="1"/>
    <col min="5889" max="5889" width="8.5" style="400" customWidth="1"/>
    <col min="5890" max="5890" width="8" style="400" customWidth="1"/>
    <col min="5891" max="5891" width="5.5" style="400" customWidth="1"/>
    <col min="5892" max="5892" width="8.75" style="400" customWidth="1"/>
    <col min="5893" max="5893" width="17.625" style="400" customWidth="1"/>
    <col min="5894" max="5894" width="7.25" style="400" customWidth="1"/>
    <col min="5895" max="5895" width="5.5" style="400" customWidth="1"/>
    <col min="5896" max="5896" width="6.625" style="400" customWidth="1"/>
    <col min="5897" max="5897" width="8.375" style="400" customWidth="1"/>
    <col min="5898" max="5898" width="7.75" style="400" customWidth="1"/>
    <col min="5899" max="5899" width="13.875" style="400" customWidth="1"/>
    <col min="5900" max="6140" width="8.875" style="400"/>
    <col min="6141" max="6141" width="5.125" style="400" customWidth="1"/>
    <col min="6142" max="6142" width="22.875" style="400" customWidth="1"/>
    <col min="6143" max="6143" width="22.75" style="400" customWidth="1"/>
    <col min="6144" max="6144" width="19.125" style="400" customWidth="1"/>
    <col min="6145" max="6145" width="8.5" style="400" customWidth="1"/>
    <col min="6146" max="6146" width="8" style="400" customWidth="1"/>
    <col min="6147" max="6147" width="5.5" style="400" customWidth="1"/>
    <col min="6148" max="6148" width="8.75" style="400" customWidth="1"/>
    <col min="6149" max="6149" width="17.625" style="400" customWidth="1"/>
    <col min="6150" max="6150" width="7.25" style="400" customWidth="1"/>
    <col min="6151" max="6151" width="5.5" style="400" customWidth="1"/>
    <col min="6152" max="6152" width="6.625" style="400" customWidth="1"/>
    <col min="6153" max="6153" width="8.375" style="400" customWidth="1"/>
    <col min="6154" max="6154" width="7.75" style="400" customWidth="1"/>
    <col min="6155" max="6155" width="13.875" style="400" customWidth="1"/>
    <col min="6156" max="6396" width="8.875" style="400"/>
    <col min="6397" max="6397" width="5.125" style="400" customWidth="1"/>
    <col min="6398" max="6398" width="22.875" style="400" customWidth="1"/>
    <col min="6399" max="6399" width="22.75" style="400" customWidth="1"/>
    <col min="6400" max="6400" width="19.125" style="400" customWidth="1"/>
    <col min="6401" max="6401" width="8.5" style="400" customWidth="1"/>
    <col min="6402" max="6402" width="8" style="400" customWidth="1"/>
    <col min="6403" max="6403" width="5.5" style="400" customWidth="1"/>
    <col min="6404" max="6404" width="8.75" style="400" customWidth="1"/>
    <col min="6405" max="6405" width="17.625" style="400" customWidth="1"/>
    <col min="6406" max="6406" width="7.25" style="400" customWidth="1"/>
    <col min="6407" max="6407" width="5.5" style="400" customWidth="1"/>
    <col min="6408" max="6408" width="6.625" style="400" customWidth="1"/>
    <col min="6409" max="6409" width="8.375" style="400" customWidth="1"/>
    <col min="6410" max="6410" width="7.75" style="400" customWidth="1"/>
    <col min="6411" max="6411" width="13.875" style="400" customWidth="1"/>
    <col min="6412" max="6652" width="8.875" style="400"/>
    <col min="6653" max="6653" width="5.125" style="400" customWidth="1"/>
    <col min="6654" max="6654" width="22.875" style="400" customWidth="1"/>
    <col min="6655" max="6655" width="22.75" style="400" customWidth="1"/>
    <col min="6656" max="6656" width="19.125" style="400" customWidth="1"/>
    <col min="6657" max="6657" width="8.5" style="400" customWidth="1"/>
    <col min="6658" max="6658" width="8" style="400" customWidth="1"/>
    <col min="6659" max="6659" width="5.5" style="400" customWidth="1"/>
    <col min="6660" max="6660" width="8.75" style="400" customWidth="1"/>
    <col min="6661" max="6661" width="17.625" style="400" customWidth="1"/>
    <col min="6662" max="6662" width="7.25" style="400" customWidth="1"/>
    <col min="6663" max="6663" width="5.5" style="400" customWidth="1"/>
    <col min="6664" max="6664" width="6.625" style="400" customWidth="1"/>
    <col min="6665" max="6665" width="8.375" style="400" customWidth="1"/>
    <col min="6666" max="6666" width="7.75" style="400" customWidth="1"/>
    <col min="6667" max="6667" width="13.875" style="400" customWidth="1"/>
    <col min="6668" max="6908" width="8.875" style="400"/>
    <col min="6909" max="6909" width="5.125" style="400" customWidth="1"/>
    <col min="6910" max="6910" width="22.875" style="400" customWidth="1"/>
    <col min="6911" max="6911" width="22.75" style="400" customWidth="1"/>
    <col min="6912" max="6912" width="19.125" style="400" customWidth="1"/>
    <col min="6913" max="6913" width="8.5" style="400" customWidth="1"/>
    <col min="6914" max="6914" width="8" style="400" customWidth="1"/>
    <col min="6915" max="6915" width="5.5" style="400" customWidth="1"/>
    <col min="6916" max="6916" width="8.75" style="400" customWidth="1"/>
    <col min="6917" max="6917" width="17.625" style="400" customWidth="1"/>
    <col min="6918" max="6918" width="7.25" style="400" customWidth="1"/>
    <col min="6919" max="6919" width="5.5" style="400" customWidth="1"/>
    <col min="6920" max="6920" width="6.625" style="400" customWidth="1"/>
    <col min="6921" max="6921" width="8.375" style="400" customWidth="1"/>
    <col min="6922" max="6922" width="7.75" style="400" customWidth="1"/>
    <col min="6923" max="6923" width="13.875" style="400" customWidth="1"/>
    <col min="6924" max="7164" width="8.875" style="400"/>
    <col min="7165" max="7165" width="5.125" style="400" customWidth="1"/>
    <col min="7166" max="7166" width="22.875" style="400" customWidth="1"/>
    <col min="7167" max="7167" width="22.75" style="400" customWidth="1"/>
    <col min="7168" max="7168" width="19.125" style="400" customWidth="1"/>
    <col min="7169" max="7169" width="8.5" style="400" customWidth="1"/>
    <col min="7170" max="7170" width="8" style="400" customWidth="1"/>
    <col min="7171" max="7171" width="5.5" style="400" customWidth="1"/>
    <col min="7172" max="7172" width="8.75" style="400" customWidth="1"/>
    <col min="7173" max="7173" width="17.625" style="400" customWidth="1"/>
    <col min="7174" max="7174" width="7.25" style="400" customWidth="1"/>
    <col min="7175" max="7175" width="5.5" style="400" customWidth="1"/>
    <col min="7176" max="7176" width="6.625" style="400" customWidth="1"/>
    <col min="7177" max="7177" width="8.375" style="400" customWidth="1"/>
    <col min="7178" max="7178" width="7.75" style="400" customWidth="1"/>
    <col min="7179" max="7179" width="13.875" style="400" customWidth="1"/>
    <col min="7180" max="7420" width="8.875" style="400"/>
    <col min="7421" max="7421" width="5.125" style="400" customWidth="1"/>
    <col min="7422" max="7422" width="22.875" style="400" customWidth="1"/>
    <col min="7423" max="7423" width="22.75" style="400" customWidth="1"/>
    <col min="7424" max="7424" width="19.125" style="400" customWidth="1"/>
    <col min="7425" max="7425" width="8.5" style="400" customWidth="1"/>
    <col min="7426" max="7426" width="8" style="400" customWidth="1"/>
    <col min="7427" max="7427" width="5.5" style="400" customWidth="1"/>
    <col min="7428" max="7428" width="8.75" style="400" customWidth="1"/>
    <col min="7429" max="7429" width="17.625" style="400" customWidth="1"/>
    <col min="7430" max="7430" width="7.25" style="400" customWidth="1"/>
    <col min="7431" max="7431" width="5.5" style="400" customWidth="1"/>
    <col min="7432" max="7432" width="6.625" style="400" customWidth="1"/>
    <col min="7433" max="7433" width="8.375" style="400" customWidth="1"/>
    <col min="7434" max="7434" width="7.75" style="400" customWidth="1"/>
    <col min="7435" max="7435" width="13.875" style="400" customWidth="1"/>
    <col min="7436" max="7676" width="8.875" style="400"/>
    <col min="7677" max="7677" width="5.125" style="400" customWidth="1"/>
    <col min="7678" max="7678" width="22.875" style="400" customWidth="1"/>
    <col min="7679" max="7679" width="22.75" style="400" customWidth="1"/>
    <col min="7680" max="7680" width="19.125" style="400" customWidth="1"/>
    <col min="7681" max="7681" width="8.5" style="400" customWidth="1"/>
    <col min="7682" max="7682" width="8" style="400" customWidth="1"/>
    <col min="7683" max="7683" width="5.5" style="400" customWidth="1"/>
    <col min="7684" max="7684" width="8.75" style="400" customWidth="1"/>
    <col min="7685" max="7685" width="17.625" style="400" customWidth="1"/>
    <col min="7686" max="7686" width="7.25" style="400" customWidth="1"/>
    <col min="7687" max="7687" width="5.5" style="400" customWidth="1"/>
    <col min="7688" max="7688" width="6.625" style="400" customWidth="1"/>
    <col min="7689" max="7689" width="8.375" style="400" customWidth="1"/>
    <col min="7690" max="7690" width="7.75" style="400" customWidth="1"/>
    <col min="7691" max="7691" width="13.875" style="400" customWidth="1"/>
    <col min="7692" max="7932" width="8.875" style="400"/>
    <col min="7933" max="7933" width="5.125" style="400" customWidth="1"/>
    <col min="7934" max="7934" width="22.875" style="400" customWidth="1"/>
    <col min="7935" max="7935" width="22.75" style="400" customWidth="1"/>
    <col min="7936" max="7936" width="19.125" style="400" customWidth="1"/>
    <col min="7937" max="7937" width="8.5" style="400" customWidth="1"/>
    <col min="7938" max="7938" width="8" style="400" customWidth="1"/>
    <col min="7939" max="7939" width="5.5" style="400" customWidth="1"/>
    <col min="7940" max="7940" width="8.75" style="400" customWidth="1"/>
    <col min="7941" max="7941" width="17.625" style="400" customWidth="1"/>
    <col min="7942" max="7942" width="7.25" style="400" customWidth="1"/>
    <col min="7943" max="7943" width="5.5" style="400" customWidth="1"/>
    <col min="7944" max="7944" width="6.625" style="400" customWidth="1"/>
    <col min="7945" max="7945" width="8.375" style="400" customWidth="1"/>
    <col min="7946" max="7946" width="7.75" style="400" customWidth="1"/>
    <col min="7947" max="7947" width="13.875" style="400" customWidth="1"/>
    <col min="7948" max="8188" width="8.875" style="400"/>
    <col min="8189" max="8189" width="5.125" style="400" customWidth="1"/>
    <col min="8190" max="8190" width="22.875" style="400" customWidth="1"/>
    <col min="8191" max="8191" width="22.75" style="400" customWidth="1"/>
    <col min="8192" max="8192" width="19.125" style="400" customWidth="1"/>
    <col min="8193" max="8193" width="8.5" style="400" customWidth="1"/>
    <col min="8194" max="8194" width="8" style="400" customWidth="1"/>
    <col min="8195" max="8195" width="5.5" style="400" customWidth="1"/>
    <col min="8196" max="8196" width="8.75" style="400" customWidth="1"/>
    <col min="8197" max="8197" width="17.625" style="400" customWidth="1"/>
    <col min="8198" max="8198" width="7.25" style="400" customWidth="1"/>
    <col min="8199" max="8199" width="5.5" style="400" customWidth="1"/>
    <col min="8200" max="8200" width="6.625" style="400" customWidth="1"/>
    <col min="8201" max="8201" width="8.375" style="400" customWidth="1"/>
    <col min="8202" max="8202" width="7.75" style="400" customWidth="1"/>
    <col min="8203" max="8203" width="13.875" style="400" customWidth="1"/>
    <col min="8204" max="8444" width="8.875" style="400"/>
    <col min="8445" max="8445" width="5.125" style="400" customWidth="1"/>
    <col min="8446" max="8446" width="22.875" style="400" customWidth="1"/>
    <col min="8447" max="8447" width="22.75" style="400" customWidth="1"/>
    <col min="8448" max="8448" width="19.125" style="400" customWidth="1"/>
    <col min="8449" max="8449" width="8.5" style="400" customWidth="1"/>
    <col min="8450" max="8450" width="8" style="400" customWidth="1"/>
    <col min="8451" max="8451" width="5.5" style="400" customWidth="1"/>
    <col min="8452" max="8452" width="8.75" style="400" customWidth="1"/>
    <col min="8453" max="8453" width="17.625" style="400" customWidth="1"/>
    <col min="8454" max="8454" width="7.25" style="400" customWidth="1"/>
    <col min="8455" max="8455" width="5.5" style="400" customWidth="1"/>
    <col min="8456" max="8456" width="6.625" style="400" customWidth="1"/>
    <col min="8457" max="8457" width="8.375" style="400" customWidth="1"/>
    <col min="8458" max="8458" width="7.75" style="400" customWidth="1"/>
    <col min="8459" max="8459" width="13.875" style="400" customWidth="1"/>
    <col min="8460" max="8700" width="8.875" style="400"/>
    <col min="8701" max="8701" width="5.125" style="400" customWidth="1"/>
    <col min="8702" max="8702" width="22.875" style="400" customWidth="1"/>
    <col min="8703" max="8703" width="22.75" style="400" customWidth="1"/>
    <col min="8704" max="8704" width="19.125" style="400" customWidth="1"/>
    <col min="8705" max="8705" width="8.5" style="400" customWidth="1"/>
    <col min="8706" max="8706" width="8" style="400" customWidth="1"/>
    <col min="8707" max="8707" width="5.5" style="400" customWidth="1"/>
    <col min="8708" max="8708" width="8.75" style="400" customWidth="1"/>
    <col min="8709" max="8709" width="17.625" style="400" customWidth="1"/>
    <col min="8710" max="8710" width="7.25" style="400" customWidth="1"/>
    <col min="8711" max="8711" width="5.5" style="400" customWidth="1"/>
    <col min="8712" max="8712" width="6.625" style="400" customWidth="1"/>
    <col min="8713" max="8713" width="8.375" style="400" customWidth="1"/>
    <col min="8714" max="8714" width="7.75" style="400" customWidth="1"/>
    <col min="8715" max="8715" width="13.875" style="400" customWidth="1"/>
    <col min="8716" max="8956" width="8.875" style="400"/>
    <col min="8957" max="8957" width="5.125" style="400" customWidth="1"/>
    <col min="8958" max="8958" width="22.875" style="400" customWidth="1"/>
    <col min="8959" max="8959" width="22.75" style="400" customWidth="1"/>
    <col min="8960" max="8960" width="19.125" style="400" customWidth="1"/>
    <col min="8961" max="8961" width="8.5" style="400" customWidth="1"/>
    <col min="8962" max="8962" width="8" style="400" customWidth="1"/>
    <col min="8963" max="8963" width="5.5" style="400" customWidth="1"/>
    <col min="8964" max="8964" width="8.75" style="400" customWidth="1"/>
    <col min="8965" max="8965" width="17.625" style="400" customWidth="1"/>
    <col min="8966" max="8966" width="7.25" style="400" customWidth="1"/>
    <col min="8967" max="8967" width="5.5" style="400" customWidth="1"/>
    <col min="8968" max="8968" width="6.625" style="400" customWidth="1"/>
    <col min="8969" max="8969" width="8.375" style="400" customWidth="1"/>
    <col min="8970" max="8970" width="7.75" style="400" customWidth="1"/>
    <col min="8971" max="8971" width="13.875" style="400" customWidth="1"/>
    <col min="8972" max="9212" width="8.875" style="400"/>
    <col min="9213" max="9213" width="5.125" style="400" customWidth="1"/>
    <col min="9214" max="9214" width="22.875" style="400" customWidth="1"/>
    <col min="9215" max="9215" width="22.75" style="400" customWidth="1"/>
    <col min="9216" max="9216" width="19.125" style="400" customWidth="1"/>
    <col min="9217" max="9217" width="8.5" style="400" customWidth="1"/>
    <col min="9218" max="9218" width="8" style="400" customWidth="1"/>
    <col min="9219" max="9219" width="5.5" style="400" customWidth="1"/>
    <col min="9220" max="9220" width="8.75" style="400" customWidth="1"/>
    <col min="9221" max="9221" width="17.625" style="400" customWidth="1"/>
    <col min="9222" max="9222" width="7.25" style="400" customWidth="1"/>
    <col min="9223" max="9223" width="5.5" style="400" customWidth="1"/>
    <col min="9224" max="9224" width="6.625" style="400" customWidth="1"/>
    <col min="9225" max="9225" width="8.375" style="400" customWidth="1"/>
    <col min="9226" max="9226" width="7.75" style="400" customWidth="1"/>
    <col min="9227" max="9227" width="13.875" style="400" customWidth="1"/>
    <col min="9228" max="9468" width="8.875" style="400"/>
    <col min="9469" max="9469" width="5.125" style="400" customWidth="1"/>
    <col min="9470" max="9470" width="22.875" style="400" customWidth="1"/>
    <col min="9471" max="9471" width="22.75" style="400" customWidth="1"/>
    <col min="9472" max="9472" width="19.125" style="400" customWidth="1"/>
    <col min="9473" max="9473" width="8.5" style="400" customWidth="1"/>
    <col min="9474" max="9474" width="8" style="400" customWidth="1"/>
    <col min="9475" max="9475" width="5.5" style="400" customWidth="1"/>
    <col min="9476" max="9476" width="8.75" style="400" customWidth="1"/>
    <col min="9477" max="9477" width="17.625" style="400" customWidth="1"/>
    <col min="9478" max="9478" width="7.25" style="400" customWidth="1"/>
    <col min="9479" max="9479" width="5.5" style="400" customWidth="1"/>
    <col min="9480" max="9480" width="6.625" style="400" customWidth="1"/>
    <col min="9481" max="9481" width="8.375" style="400" customWidth="1"/>
    <col min="9482" max="9482" width="7.75" style="400" customWidth="1"/>
    <col min="9483" max="9483" width="13.875" style="400" customWidth="1"/>
    <col min="9484" max="9724" width="8.875" style="400"/>
    <col min="9725" max="9725" width="5.125" style="400" customWidth="1"/>
    <col min="9726" max="9726" width="22.875" style="400" customWidth="1"/>
    <col min="9727" max="9727" width="22.75" style="400" customWidth="1"/>
    <col min="9728" max="9728" width="19.125" style="400" customWidth="1"/>
    <col min="9729" max="9729" width="8.5" style="400" customWidth="1"/>
    <col min="9730" max="9730" width="8" style="400" customWidth="1"/>
    <col min="9731" max="9731" width="5.5" style="400" customWidth="1"/>
    <col min="9732" max="9732" width="8.75" style="400" customWidth="1"/>
    <col min="9733" max="9733" width="17.625" style="400" customWidth="1"/>
    <col min="9734" max="9734" width="7.25" style="400" customWidth="1"/>
    <col min="9735" max="9735" width="5.5" style="400" customWidth="1"/>
    <col min="9736" max="9736" width="6.625" style="400" customWidth="1"/>
    <col min="9737" max="9737" width="8.375" style="400" customWidth="1"/>
    <col min="9738" max="9738" width="7.75" style="400" customWidth="1"/>
    <col min="9739" max="9739" width="13.875" style="400" customWidth="1"/>
    <col min="9740" max="9980" width="8.875" style="400"/>
    <col min="9981" max="9981" width="5.125" style="400" customWidth="1"/>
    <col min="9982" max="9982" width="22.875" style="400" customWidth="1"/>
    <col min="9983" max="9983" width="22.75" style="400" customWidth="1"/>
    <col min="9984" max="9984" width="19.125" style="400" customWidth="1"/>
    <col min="9985" max="9985" width="8.5" style="400" customWidth="1"/>
    <col min="9986" max="9986" width="8" style="400" customWidth="1"/>
    <col min="9987" max="9987" width="5.5" style="400" customWidth="1"/>
    <col min="9988" max="9988" width="8.75" style="400" customWidth="1"/>
    <col min="9989" max="9989" width="17.625" style="400" customWidth="1"/>
    <col min="9990" max="9990" width="7.25" style="400" customWidth="1"/>
    <col min="9991" max="9991" width="5.5" style="400" customWidth="1"/>
    <col min="9992" max="9992" width="6.625" style="400" customWidth="1"/>
    <col min="9993" max="9993" width="8.375" style="400" customWidth="1"/>
    <col min="9994" max="9994" width="7.75" style="400" customWidth="1"/>
    <col min="9995" max="9995" width="13.875" style="400" customWidth="1"/>
    <col min="9996" max="10236" width="8.875" style="400"/>
    <col min="10237" max="10237" width="5.125" style="400" customWidth="1"/>
    <col min="10238" max="10238" width="22.875" style="400" customWidth="1"/>
    <col min="10239" max="10239" width="22.75" style="400" customWidth="1"/>
    <col min="10240" max="10240" width="19.125" style="400" customWidth="1"/>
    <col min="10241" max="10241" width="8.5" style="400" customWidth="1"/>
    <col min="10242" max="10242" width="8" style="400" customWidth="1"/>
    <col min="10243" max="10243" width="5.5" style="400" customWidth="1"/>
    <col min="10244" max="10244" width="8.75" style="400" customWidth="1"/>
    <col min="10245" max="10245" width="17.625" style="400" customWidth="1"/>
    <col min="10246" max="10246" width="7.25" style="400" customWidth="1"/>
    <col min="10247" max="10247" width="5.5" style="400" customWidth="1"/>
    <col min="10248" max="10248" width="6.625" style="400" customWidth="1"/>
    <col min="10249" max="10249" width="8.375" style="400" customWidth="1"/>
    <col min="10250" max="10250" width="7.75" style="400" customWidth="1"/>
    <col min="10251" max="10251" width="13.875" style="400" customWidth="1"/>
    <col min="10252" max="10492" width="8.875" style="400"/>
    <col min="10493" max="10493" width="5.125" style="400" customWidth="1"/>
    <col min="10494" max="10494" width="22.875" style="400" customWidth="1"/>
    <col min="10495" max="10495" width="22.75" style="400" customWidth="1"/>
    <col min="10496" max="10496" width="19.125" style="400" customWidth="1"/>
    <col min="10497" max="10497" width="8.5" style="400" customWidth="1"/>
    <col min="10498" max="10498" width="8" style="400" customWidth="1"/>
    <col min="10499" max="10499" width="5.5" style="400" customWidth="1"/>
    <col min="10500" max="10500" width="8.75" style="400" customWidth="1"/>
    <col min="10501" max="10501" width="17.625" style="400" customWidth="1"/>
    <col min="10502" max="10502" width="7.25" style="400" customWidth="1"/>
    <col min="10503" max="10503" width="5.5" style="400" customWidth="1"/>
    <col min="10504" max="10504" width="6.625" style="400" customWidth="1"/>
    <col min="10505" max="10505" width="8.375" style="400" customWidth="1"/>
    <col min="10506" max="10506" width="7.75" style="400" customWidth="1"/>
    <col min="10507" max="10507" width="13.875" style="400" customWidth="1"/>
    <col min="10508" max="10748" width="8.875" style="400"/>
    <col min="10749" max="10749" width="5.125" style="400" customWidth="1"/>
    <col min="10750" max="10750" width="22.875" style="400" customWidth="1"/>
    <col min="10751" max="10751" width="22.75" style="400" customWidth="1"/>
    <col min="10752" max="10752" width="19.125" style="400" customWidth="1"/>
    <col min="10753" max="10753" width="8.5" style="400" customWidth="1"/>
    <col min="10754" max="10754" width="8" style="400" customWidth="1"/>
    <col min="10755" max="10755" width="5.5" style="400" customWidth="1"/>
    <col min="10756" max="10756" width="8.75" style="400" customWidth="1"/>
    <col min="10757" max="10757" width="17.625" style="400" customWidth="1"/>
    <col min="10758" max="10758" width="7.25" style="400" customWidth="1"/>
    <col min="10759" max="10759" width="5.5" style="400" customWidth="1"/>
    <col min="10760" max="10760" width="6.625" style="400" customWidth="1"/>
    <col min="10761" max="10761" width="8.375" style="400" customWidth="1"/>
    <col min="10762" max="10762" width="7.75" style="400" customWidth="1"/>
    <col min="10763" max="10763" width="13.875" style="400" customWidth="1"/>
    <col min="10764" max="11004" width="8.875" style="400"/>
    <col min="11005" max="11005" width="5.125" style="400" customWidth="1"/>
    <col min="11006" max="11006" width="22.875" style="400" customWidth="1"/>
    <col min="11007" max="11007" width="22.75" style="400" customWidth="1"/>
    <col min="11008" max="11008" width="19.125" style="400" customWidth="1"/>
    <col min="11009" max="11009" width="8.5" style="400" customWidth="1"/>
    <col min="11010" max="11010" width="8" style="400" customWidth="1"/>
    <col min="11011" max="11011" width="5.5" style="400" customWidth="1"/>
    <col min="11012" max="11012" width="8.75" style="400" customWidth="1"/>
    <col min="11013" max="11013" width="17.625" style="400" customWidth="1"/>
    <col min="11014" max="11014" width="7.25" style="400" customWidth="1"/>
    <col min="11015" max="11015" width="5.5" style="400" customWidth="1"/>
    <col min="11016" max="11016" width="6.625" style="400" customWidth="1"/>
    <col min="11017" max="11017" width="8.375" style="400" customWidth="1"/>
    <col min="11018" max="11018" width="7.75" style="400" customWidth="1"/>
    <col min="11019" max="11019" width="13.875" style="400" customWidth="1"/>
    <col min="11020" max="11260" width="8.875" style="400"/>
    <col min="11261" max="11261" width="5.125" style="400" customWidth="1"/>
    <col min="11262" max="11262" width="22.875" style="400" customWidth="1"/>
    <col min="11263" max="11263" width="22.75" style="400" customWidth="1"/>
    <col min="11264" max="11264" width="19.125" style="400" customWidth="1"/>
    <col min="11265" max="11265" width="8.5" style="400" customWidth="1"/>
    <col min="11266" max="11266" width="8" style="400" customWidth="1"/>
    <col min="11267" max="11267" width="5.5" style="400" customWidth="1"/>
    <col min="11268" max="11268" width="8.75" style="400" customWidth="1"/>
    <col min="11269" max="11269" width="17.625" style="400" customWidth="1"/>
    <col min="11270" max="11270" width="7.25" style="400" customWidth="1"/>
    <col min="11271" max="11271" width="5.5" style="400" customWidth="1"/>
    <col min="11272" max="11272" width="6.625" style="400" customWidth="1"/>
    <col min="11273" max="11273" width="8.375" style="400" customWidth="1"/>
    <col min="11274" max="11274" width="7.75" style="400" customWidth="1"/>
    <col min="11275" max="11275" width="13.875" style="400" customWidth="1"/>
    <col min="11276" max="11516" width="8.875" style="400"/>
    <col min="11517" max="11517" width="5.125" style="400" customWidth="1"/>
    <col min="11518" max="11518" width="22.875" style="400" customWidth="1"/>
    <col min="11519" max="11519" width="22.75" style="400" customWidth="1"/>
    <col min="11520" max="11520" width="19.125" style="400" customWidth="1"/>
    <col min="11521" max="11521" width="8.5" style="400" customWidth="1"/>
    <col min="11522" max="11522" width="8" style="400" customWidth="1"/>
    <col min="11523" max="11523" width="5.5" style="400" customWidth="1"/>
    <col min="11524" max="11524" width="8.75" style="400" customWidth="1"/>
    <col min="11525" max="11525" width="17.625" style="400" customWidth="1"/>
    <col min="11526" max="11526" width="7.25" style="400" customWidth="1"/>
    <col min="11527" max="11527" width="5.5" style="400" customWidth="1"/>
    <col min="11528" max="11528" width="6.625" style="400" customWidth="1"/>
    <col min="11529" max="11529" width="8.375" style="400" customWidth="1"/>
    <col min="11530" max="11530" width="7.75" style="400" customWidth="1"/>
    <col min="11531" max="11531" width="13.875" style="400" customWidth="1"/>
    <col min="11532" max="11772" width="8.875" style="400"/>
    <col min="11773" max="11773" width="5.125" style="400" customWidth="1"/>
    <col min="11774" max="11774" width="22.875" style="400" customWidth="1"/>
    <col min="11775" max="11775" width="22.75" style="400" customWidth="1"/>
    <col min="11776" max="11776" width="19.125" style="400" customWidth="1"/>
    <col min="11777" max="11777" width="8.5" style="400" customWidth="1"/>
    <col min="11778" max="11778" width="8" style="400" customWidth="1"/>
    <col min="11779" max="11779" width="5.5" style="400" customWidth="1"/>
    <col min="11780" max="11780" width="8.75" style="400" customWidth="1"/>
    <col min="11781" max="11781" width="17.625" style="400" customWidth="1"/>
    <col min="11782" max="11782" width="7.25" style="400" customWidth="1"/>
    <col min="11783" max="11783" width="5.5" style="400" customWidth="1"/>
    <col min="11784" max="11784" width="6.625" style="400" customWidth="1"/>
    <col min="11785" max="11785" width="8.375" style="400" customWidth="1"/>
    <col min="11786" max="11786" width="7.75" style="400" customWidth="1"/>
    <col min="11787" max="11787" width="13.875" style="400" customWidth="1"/>
    <col min="11788" max="12028" width="8.875" style="400"/>
    <col min="12029" max="12029" width="5.125" style="400" customWidth="1"/>
    <col min="12030" max="12030" width="22.875" style="400" customWidth="1"/>
    <col min="12031" max="12031" width="22.75" style="400" customWidth="1"/>
    <col min="12032" max="12032" width="19.125" style="400" customWidth="1"/>
    <col min="12033" max="12033" width="8.5" style="400" customWidth="1"/>
    <col min="12034" max="12034" width="8" style="400" customWidth="1"/>
    <col min="12035" max="12035" width="5.5" style="400" customWidth="1"/>
    <col min="12036" max="12036" width="8.75" style="400" customWidth="1"/>
    <col min="12037" max="12037" width="17.625" style="400" customWidth="1"/>
    <col min="12038" max="12038" width="7.25" style="400" customWidth="1"/>
    <col min="12039" max="12039" width="5.5" style="400" customWidth="1"/>
    <col min="12040" max="12040" width="6.625" style="400" customWidth="1"/>
    <col min="12041" max="12041" width="8.375" style="400" customWidth="1"/>
    <col min="12042" max="12042" width="7.75" style="400" customWidth="1"/>
    <col min="12043" max="12043" width="13.875" style="400" customWidth="1"/>
    <col min="12044" max="12284" width="8.875" style="400"/>
    <col min="12285" max="12285" width="5.125" style="400" customWidth="1"/>
    <col min="12286" max="12286" width="22.875" style="400" customWidth="1"/>
    <col min="12287" max="12287" width="22.75" style="400" customWidth="1"/>
    <col min="12288" max="12288" width="19.125" style="400" customWidth="1"/>
    <col min="12289" max="12289" width="8.5" style="400" customWidth="1"/>
    <col min="12290" max="12290" width="8" style="400" customWidth="1"/>
    <col min="12291" max="12291" width="5.5" style="400" customWidth="1"/>
    <col min="12292" max="12292" width="8.75" style="400" customWidth="1"/>
    <col min="12293" max="12293" width="17.625" style="400" customWidth="1"/>
    <col min="12294" max="12294" width="7.25" style="400" customWidth="1"/>
    <col min="12295" max="12295" width="5.5" style="400" customWidth="1"/>
    <col min="12296" max="12296" width="6.625" style="400" customWidth="1"/>
    <col min="12297" max="12297" width="8.375" style="400" customWidth="1"/>
    <col min="12298" max="12298" width="7.75" style="400" customWidth="1"/>
    <col min="12299" max="12299" width="13.875" style="400" customWidth="1"/>
    <col min="12300" max="12540" width="8.875" style="400"/>
    <col min="12541" max="12541" width="5.125" style="400" customWidth="1"/>
    <col min="12542" max="12542" width="22.875" style="400" customWidth="1"/>
    <col min="12543" max="12543" width="22.75" style="400" customWidth="1"/>
    <col min="12544" max="12544" width="19.125" style="400" customWidth="1"/>
    <col min="12545" max="12545" width="8.5" style="400" customWidth="1"/>
    <col min="12546" max="12546" width="8" style="400" customWidth="1"/>
    <col min="12547" max="12547" width="5.5" style="400" customWidth="1"/>
    <col min="12548" max="12548" width="8.75" style="400" customWidth="1"/>
    <col min="12549" max="12549" width="17.625" style="400" customWidth="1"/>
    <col min="12550" max="12550" width="7.25" style="400" customWidth="1"/>
    <col min="12551" max="12551" width="5.5" style="400" customWidth="1"/>
    <col min="12552" max="12552" width="6.625" style="400" customWidth="1"/>
    <col min="12553" max="12553" width="8.375" style="400" customWidth="1"/>
    <col min="12554" max="12554" width="7.75" style="400" customWidth="1"/>
    <col min="12555" max="12555" width="13.875" style="400" customWidth="1"/>
    <col min="12556" max="12796" width="8.875" style="400"/>
    <col min="12797" max="12797" width="5.125" style="400" customWidth="1"/>
    <col min="12798" max="12798" width="22.875" style="400" customWidth="1"/>
    <col min="12799" max="12799" width="22.75" style="400" customWidth="1"/>
    <col min="12800" max="12800" width="19.125" style="400" customWidth="1"/>
    <col min="12801" max="12801" width="8.5" style="400" customWidth="1"/>
    <col min="12802" max="12802" width="8" style="400" customWidth="1"/>
    <col min="12803" max="12803" width="5.5" style="400" customWidth="1"/>
    <col min="12804" max="12804" width="8.75" style="400" customWidth="1"/>
    <col min="12805" max="12805" width="17.625" style="400" customWidth="1"/>
    <col min="12806" max="12806" width="7.25" style="400" customWidth="1"/>
    <col min="12807" max="12807" width="5.5" style="400" customWidth="1"/>
    <col min="12808" max="12808" width="6.625" style="400" customWidth="1"/>
    <col min="12809" max="12809" width="8.375" style="400" customWidth="1"/>
    <col min="12810" max="12810" width="7.75" style="400" customWidth="1"/>
    <col min="12811" max="12811" width="13.875" style="400" customWidth="1"/>
    <col min="12812" max="13052" width="8.875" style="400"/>
    <col min="13053" max="13053" width="5.125" style="400" customWidth="1"/>
    <col min="13054" max="13054" width="22.875" style="400" customWidth="1"/>
    <col min="13055" max="13055" width="22.75" style="400" customWidth="1"/>
    <col min="13056" max="13056" width="19.125" style="400" customWidth="1"/>
    <col min="13057" max="13057" width="8.5" style="400" customWidth="1"/>
    <col min="13058" max="13058" width="8" style="400" customWidth="1"/>
    <col min="13059" max="13059" width="5.5" style="400" customWidth="1"/>
    <col min="13060" max="13060" width="8.75" style="400" customWidth="1"/>
    <col min="13061" max="13061" width="17.625" style="400" customWidth="1"/>
    <col min="13062" max="13062" width="7.25" style="400" customWidth="1"/>
    <col min="13063" max="13063" width="5.5" style="400" customWidth="1"/>
    <col min="13064" max="13064" width="6.625" style="400" customWidth="1"/>
    <col min="13065" max="13065" width="8.375" style="400" customWidth="1"/>
    <col min="13066" max="13066" width="7.75" style="400" customWidth="1"/>
    <col min="13067" max="13067" width="13.875" style="400" customWidth="1"/>
    <col min="13068" max="13308" width="8.875" style="400"/>
    <col min="13309" max="13309" width="5.125" style="400" customWidth="1"/>
    <col min="13310" max="13310" width="22.875" style="400" customWidth="1"/>
    <col min="13311" max="13311" width="22.75" style="400" customWidth="1"/>
    <col min="13312" max="13312" width="19.125" style="400" customWidth="1"/>
    <col min="13313" max="13313" width="8.5" style="400" customWidth="1"/>
    <col min="13314" max="13314" width="8" style="400" customWidth="1"/>
    <col min="13315" max="13315" width="5.5" style="400" customWidth="1"/>
    <col min="13316" max="13316" width="8.75" style="400" customWidth="1"/>
    <col min="13317" max="13317" width="17.625" style="400" customWidth="1"/>
    <col min="13318" max="13318" width="7.25" style="400" customWidth="1"/>
    <col min="13319" max="13319" width="5.5" style="400" customWidth="1"/>
    <col min="13320" max="13320" width="6.625" style="400" customWidth="1"/>
    <col min="13321" max="13321" width="8.375" style="400" customWidth="1"/>
    <col min="13322" max="13322" width="7.75" style="400" customWidth="1"/>
    <col min="13323" max="13323" width="13.875" style="400" customWidth="1"/>
    <col min="13324" max="13564" width="8.875" style="400"/>
    <col min="13565" max="13565" width="5.125" style="400" customWidth="1"/>
    <col min="13566" max="13566" width="22.875" style="400" customWidth="1"/>
    <col min="13567" max="13567" width="22.75" style="400" customWidth="1"/>
    <col min="13568" max="13568" width="19.125" style="400" customWidth="1"/>
    <col min="13569" max="13569" width="8.5" style="400" customWidth="1"/>
    <col min="13570" max="13570" width="8" style="400" customWidth="1"/>
    <col min="13571" max="13571" width="5.5" style="400" customWidth="1"/>
    <col min="13572" max="13572" width="8.75" style="400" customWidth="1"/>
    <col min="13573" max="13573" width="17.625" style="400" customWidth="1"/>
    <col min="13574" max="13574" width="7.25" style="400" customWidth="1"/>
    <col min="13575" max="13575" width="5.5" style="400" customWidth="1"/>
    <col min="13576" max="13576" width="6.625" style="400" customWidth="1"/>
    <col min="13577" max="13577" width="8.375" style="400" customWidth="1"/>
    <col min="13578" max="13578" width="7.75" style="400" customWidth="1"/>
    <col min="13579" max="13579" width="13.875" style="400" customWidth="1"/>
    <col min="13580" max="13820" width="8.875" style="400"/>
    <col min="13821" max="13821" width="5.125" style="400" customWidth="1"/>
    <col min="13822" max="13822" width="22.875" style="400" customWidth="1"/>
    <col min="13823" max="13823" width="22.75" style="400" customWidth="1"/>
    <col min="13824" max="13824" width="19.125" style="400" customWidth="1"/>
    <col min="13825" max="13825" width="8.5" style="400" customWidth="1"/>
    <col min="13826" max="13826" width="8" style="400" customWidth="1"/>
    <col min="13827" max="13827" width="5.5" style="400" customWidth="1"/>
    <col min="13828" max="13828" width="8.75" style="400" customWidth="1"/>
    <col min="13829" max="13829" width="17.625" style="400" customWidth="1"/>
    <col min="13830" max="13830" width="7.25" style="400" customWidth="1"/>
    <col min="13831" max="13831" width="5.5" style="400" customWidth="1"/>
    <col min="13832" max="13832" width="6.625" style="400" customWidth="1"/>
    <col min="13833" max="13833" width="8.375" style="400" customWidth="1"/>
    <col min="13834" max="13834" width="7.75" style="400" customWidth="1"/>
    <col min="13835" max="13835" width="13.875" style="400" customWidth="1"/>
    <col min="13836" max="14076" width="8.875" style="400"/>
    <col min="14077" max="14077" width="5.125" style="400" customWidth="1"/>
    <col min="14078" max="14078" width="22.875" style="400" customWidth="1"/>
    <col min="14079" max="14079" width="22.75" style="400" customWidth="1"/>
    <col min="14080" max="14080" width="19.125" style="400" customWidth="1"/>
    <col min="14081" max="14081" width="8.5" style="400" customWidth="1"/>
    <col min="14082" max="14082" width="8" style="400" customWidth="1"/>
    <col min="14083" max="14083" width="5.5" style="400" customWidth="1"/>
    <col min="14084" max="14084" width="8.75" style="400" customWidth="1"/>
    <col min="14085" max="14085" width="17.625" style="400" customWidth="1"/>
    <col min="14086" max="14086" width="7.25" style="400" customWidth="1"/>
    <col min="14087" max="14087" width="5.5" style="400" customWidth="1"/>
    <col min="14088" max="14088" width="6.625" style="400" customWidth="1"/>
    <col min="14089" max="14089" width="8.375" style="400" customWidth="1"/>
    <col min="14090" max="14090" width="7.75" style="400" customWidth="1"/>
    <col min="14091" max="14091" width="13.875" style="400" customWidth="1"/>
    <col min="14092" max="14332" width="8.875" style="400"/>
    <col min="14333" max="14333" width="5.125" style="400" customWidth="1"/>
    <col min="14334" max="14334" width="22.875" style="400" customWidth="1"/>
    <col min="14335" max="14335" width="22.75" style="400" customWidth="1"/>
    <col min="14336" max="14336" width="19.125" style="400" customWidth="1"/>
    <col min="14337" max="14337" width="8.5" style="400" customWidth="1"/>
    <col min="14338" max="14338" width="8" style="400" customWidth="1"/>
    <col min="14339" max="14339" width="5.5" style="400" customWidth="1"/>
    <col min="14340" max="14340" width="8.75" style="400" customWidth="1"/>
    <col min="14341" max="14341" width="17.625" style="400" customWidth="1"/>
    <col min="14342" max="14342" width="7.25" style="400" customWidth="1"/>
    <col min="14343" max="14343" width="5.5" style="400" customWidth="1"/>
    <col min="14344" max="14344" width="6.625" style="400" customWidth="1"/>
    <col min="14345" max="14345" width="8.375" style="400" customWidth="1"/>
    <col min="14346" max="14346" width="7.75" style="400" customWidth="1"/>
    <col min="14347" max="14347" width="13.875" style="400" customWidth="1"/>
    <col min="14348" max="14588" width="8.875" style="400"/>
    <col min="14589" max="14589" width="5.125" style="400" customWidth="1"/>
    <col min="14590" max="14590" width="22.875" style="400" customWidth="1"/>
    <col min="14591" max="14591" width="22.75" style="400" customWidth="1"/>
    <col min="14592" max="14592" width="19.125" style="400" customWidth="1"/>
    <col min="14593" max="14593" width="8.5" style="400" customWidth="1"/>
    <col min="14594" max="14594" width="8" style="400" customWidth="1"/>
    <col min="14595" max="14595" width="5.5" style="400" customWidth="1"/>
    <col min="14596" max="14596" width="8.75" style="400" customWidth="1"/>
    <col min="14597" max="14597" width="17.625" style="400" customWidth="1"/>
    <col min="14598" max="14598" width="7.25" style="400" customWidth="1"/>
    <col min="14599" max="14599" width="5.5" style="400" customWidth="1"/>
    <col min="14600" max="14600" width="6.625" style="400" customWidth="1"/>
    <col min="14601" max="14601" width="8.375" style="400" customWidth="1"/>
    <col min="14602" max="14602" width="7.75" style="400" customWidth="1"/>
    <col min="14603" max="14603" width="13.875" style="400" customWidth="1"/>
    <col min="14604" max="14844" width="8.875" style="400"/>
    <col min="14845" max="14845" width="5.125" style="400" customWidth="1"/>
    <col min="14846" max="14846" width="22.875" style="400" customWidth="1"/>
    <col min="14847" max="14847" width="22.75" style="400" customWidth="1"/>
    <col min="14848" max="14848" width="19.125" style="400" customWidth="1"/>
    <col min="14849" max="14849" width="8.5" style="400" customWidth="1"/>
    <col min="14850" max="14850" width="8" style="400" customWidth="1"/>
    <col min="14851" max="14851" width="5.5" style="400" customWidth="1"/>
    <col min="14852" max="14852" width="8.75" style="400" customWidth="1"/>
    <col min="14853" max="14853" width="17.625" style="400" customWidth="1"/>
    <col min="14854" max="14854" width="7.25" style="400" customWidth="1"/>
    <col min="14855" max="14855" width="5.5" style="400" customWidth="1"/>
    <col min="14856" max="14856" width="6.625" style="400" customWidth="1"/>
    <col min="14857" max="14857" width="8.375" style="400" customWidth="1"/>
    <col min="14858" max="14858" width="7.75" style="400" customWidth="1"/>
    <col min="14859" max="14859" width="13.875" style="400" customWidth="1"/>
    <col min="14860" max="15100" width="8.875" style="400"/>
    <col min="15101" max="15101" width="5.125" style="400" customWidth="1"/>
    <col min="15102" max="15102" width="22.875" style="400" customWidth="1"/>
    <col min="15103" max="15103" width="22.75" style="400" customWidth="1"/>
    <col min="15104" max="15104" width="19.125" style="400" customWidth="1"/>
    <col min="15105" max="15105" width="8.5" style="400" customWidth="1"/>
    <col min="15106" max="15106" width="8" style="400" customWidth="1"/>
    <col min="15107" max="15107" width="5.5" style="400" customWidth="1"/>
    <col min="15108" max="15108" width="8.75" style="400" customWidth="1"/>
    <col min="15109" max="15109" width="17.625" style="400" customWidth="1"/>
    <col min="15110" max="15110" width="7.25" style="400" customWidth="1"/>
    <col min="15111" max="15111" width="5.5" style="400" customWidth="1"/>
    <col min="15112" max="15112" width="6.625" style="400" customWidth="1"/>
    <col min="15113" max="15113" width="8.375" style="400" customWidth="1"/>
    <col min="15114" max="15114" width="7.75" style="400" customWidth="1"/>
    <col min="15115" max="15115" width="13.875" style="400" customWidth="1"/>
    <col min="15116" max="15356" width="8.875" style="400"/>
    <col min="15357" max="15357" width="5.125" style="400" customWidth="1"/>
    <col min="15358" max="15358" width="22.875" style="400" customWidth="1"/>
    <col min="15359" max="15359" width="22.75" style="400" customWidth="1"/>
    <col min="15360" max="15360" width="19.125" style="400" customWidth="1"/>
    <col min="15361" max="15361" width="8.5" style="400" customWidth="1"/>
    <col min="15362" max="15362" width="8" style="400" customWidth="1"/>
    <col min="15363" max="15363" width="5.5" style="400" customWidth="1"/>
    <col min="15364" max="15364" width="8.75" style="400" customWidth="1"/>
    <col min="15365" max="15365" width="17.625" style="400" customWidth="1"/>
    <col min="15366" max="15366" width="7.25" style="400" customWidth="1"/>
    <col min="15367" max="15367" width="5.5" style="400" customWidth="1"/>
    <col min="15368" max="15368" width="6.625" style="400" customWidth="1"/>
    <col min="15369" max="15369" width="8.375" style="400" customWidth="1"/>
    <col min="15370" max="15370" width="7.75" style="400" customWidth="1"/>
    <col min="15371" max="15371" width="13.875" style="400" customWidth="1"/>
    <col min="15372" max="15612" width="8.875" style="400"/>
    <col min="15613" max="15613" width="5.125" style="400" customWidth="1"/>
    <col min="15614" max="15614" width="22.875" style="400" customWidth="1"/>
    <col min="15615" max="15615" width="22.75" style="400" customWidth="1"/>
    <col min="15616" max="15616" width="19.125" style="400" customWidth="1"/>
    <col min="15617" max="15617" width="8.5" style="400" customWidth="1"/>
    <col min="15618" max="15618" width="8" style="400" customWidth="1"/>
    <col min="15619" max="15619" width="5.5" style="400" customWidth="1"/>
    <col min="15620" max="15620" width="8.75" style="400" customWidth="1"/>
    <col min="15621" max="15621" width="17.625" style="400" customWidth="1"/>
    <col min="15622" max="15622" width="7.25" style="400" customWidth="1"/>
    <col min="15623" max="15623" width="5.5" style="400" customWidth="1"/>
    <col min="15624" max="15624" width="6.625" style="400" customWidth="1"/>
    <col min="15625" max="15625" width="8.375" style="400" customWidth="1"/>
    <col min="15626" max="15626" width="7.75" style="400" customWidth="1"/>
    <col min="15627" max="15627" width="13.875" style="400" customWidth="1"/>
    <col min="15628" max="15868" width="8.875" style="400"/>
    <col min="15869" max="15869" width="5.125" style="400" customWidth="1"/>
    <col min="15870" max="15870" width="22.875" style="400" customWidth="1"/>
    <col min="15871" max="15871" width="22.75" style="400" customWidth="1"/>
    <col min="15872" max="15872" width="19.125" style="400" customWidth="1"/>
    <col min="15873" max="15873" width="8.5" style="400" customWidth="1"/>
    <col min="15874" max="15874" width="8" style="400" customWidth="1"/>
    <col min="15875" max="15875" width="5.5" style="400" customWidth="1"/>
    <col min="15876" max="15876" width="8.75" style="400" customWidth="1"/>
    <col min="15877" max="15877" width="17.625" style="400" customWidth="1"/>
    <col min="15878" max="15878" width="7.25" style="400" customWidth="1"/>
    <col min="15879" max="15879" width="5.5" style="400" customWidth="1"/>
    <col min="15880" max="15880" width="6.625" style="400" customWidth="1"/>
    <col min="15881" max="15881" width="8.375" style="400" customWidth="1"/>
    <col min="15882" max="15882" width="7.75" style="400" customWidth="1"/>
    <col min="15883" max="15883" width="13.875" style="400" customWidth="1"/>
    <col min="15884" max="16124" width="8.875" style="400"/>
    <col min="16125" max="16125" width="5.125" style="400" customWidth="1"/>
    <col min="16126" max="16126" width="22.875" style="400" customWidth="1"/>
    <col min="16127" max="16127" width="22.75" style="400" customWidth="1"/>
    <col min="16128" max="16128" width="19.125" style="400" customWidth="1"/>
    <col min="16129" max="16129" width="8.5" style="400" customWidth="1"/>
    <col min="16130" max="16130" width="8" style="400" customWidth="1"/>
    <col min="16131" max="16131" width="5.5" style="400" customWidth="1"/>
    <col min="16132" max="16132" width="8.75" style="400" customWidth="1"/>
    <col min="16133" max="16133" width="17.625" style="400" customWidth="1"/>
    <col min="16134" max="16134" width="7.25" style="400" customWidth="1"/>
    <col min="16135" max="16135" width="5.5" style="400" customWidth="1"/>
    <col min="16136" max="16136" width="6.625" style="400" customWidth="1"/>
    <col min="16137" max="16137" width="8.375" style="400" customWidth="1"/>
    <col min="16138" max="16138" width="7.75" style="400" customWidth="1"/>
    <col min="16139" max="16139" width="13.875" style="400" customWidth="1"/>
    <col min="16140" max="16384" width="8.875" style="400"/>
  </cols>
  <sheetData>
    <row r="1" ht="36" customHeight="1" spans="1:11">
      <c r="A1" s="423" t="s">
        <v>71</v>
      </c>
      <c r="B1" s="423"/>
      <c r="C1" s="423"/>
      <c r="D1" s="423"/>
      <c r="E1" s="423"/>
      <c r="F1" s="423"/>
      <c r="G1" s="423"/>
      <c r="H1" s="423"/>
      <c r="I1" s="423"/>
      <c r="J1" s="437"/>
      <c r="K1" s="423"/>
    </row>
    <row r="2" ht="18.75" customHeight="1" spans="1:11">
      <c r="A2" s="424" t="str">
        <f>物资类申报表!A2</f>
        <v>被评估单位：江阴市金捷利制管有限公司</v>
      </c>
      <c r="B2" s="425"/>
      <c r="C2" s="425"/>
      <c r="D2" s="426" t="s">
        <v>2</v>
      </c>
      <c r="E2" s="426"/>
      <c r="F2" s="426"/>
      <c r="G2" s="426"/>
      <c r="H2" s="426"/>
      <c r="I2" s="426"/>
      <c r="J2" s="426"/>
      <c r="K2" s="425" t="s">
        <v>19</v>
      </c>
    </row>
    <row r="3" ht="20.1" customHeight="1" spans="1:11">
      <c r="A3" s="427" t="s">
        <v>20</v>
      </c>
      <c r="B3" s="427" t="s">
        <v>72</v>
      </c>
      <c r="C3" s="427" t="s">
        <v>22</v>
      </c>
      <c r="D3" s="428" t="s">
        <v>73</v>
      </c>
      <c r="E3" s="429" t="s">
        <v>74</v>
      </c>
      <c r="F3" s="428" t="s">
        <v>75</v>
      </c>
      <c r="G3" s="430" t="s">
        <v>23</v>
      </c>
      <c r="H3" s="430" t="s">
        <v>76</v>
      </c>
      <c r="I3" s="429" t="s">
        <v>77</v>
      </c>
      <c r="J3" s="438" t="s">
        <v>78</v>
      </c>
      <c r="K3" s="427" t="s">
        <v>8</v>
      </c>
    </row>
    <row r="4" ht="29.25" customHeight="1" spans="1:11">
      <c r="A4" s="427"/>
      <c r="B4" s="427"/>
      <c r="C4" s="427"/>
      <c r="D4" s="431"/>
      <c r="E4" s="431"/>
      <c r="F4" s="431"/>
      <c r="G4" s="427"/>
      <c r="H4" s="427"/>
      <c r="I4" s="439"/>
      <c r="J4" s="438"/>
      <c r="K4" s="427"/>
    </row>
    <row r="5" ht="24.95" customHeight="1" spans="1:11">
      <c r="A5" s="427">
        <f>SUBTOTAL(103,$B$5:B5)</f>
        <v>1</v>
      </c>
      <c r="B5" s="432" t="s">
        <v>79</v>
      </c>
      <c r="C5" s="432" t="s">
        <v>80</v>
      </c>
      <c r="D5" s="432" t="s">
        <v>81</v>
      </c>
      <c r="E5" s="433" t="s">
        <v>82</v>
      </c>
      <c r="F5" s="432">
        <v>1</v>
      </c>
      <c r="G5" s="432" t="s">
        <v>42</v>
      </c>
      <c r="H5" s="432" t="s">
        <v>83</v>
      </c>
      <c r="I5" s="436"/>
      <c r="J5" s="440" t="s">
        <v>84</v>
      </c>
      <c r="K5" s="441"/>
    </row>
    <row r="6" ht="24.95" customHeight="1" spans="1:11">
      <c r="A6" s="427">
        <f>SUBTOTAL(103,$B$5:B6)</f>
        <v>2</v>
      </c>
      <c r="B6" s="432" t="s">
        <v>79</v>
      </c>
      <c r="C6" s="432" t="s">
        <v>85</v>
      </c>
      <c r="D6" s="432" t="s">
        <v>81</v>
      </c>
      <c r="E6" s="433" t="s">
        <v>86</v>
      </c>
      <c r="F6" s="432">
        <v>1</v>
      </c>
      <c r="G6" s="432" t="s">
        <v>42</v>
      </c>
      <c r="H6" s="432" t="s">
        <v>83</v>
      </c>
      <c r="I6" s="436"/>
      <c r="J6" s="440" t="s">
        <v>84</v>
      </c>
      <c r="K6" s="441"/>
    </row>
    <row r="7" ht="24.95" customHeight="1" spans="1:11">
      <c r="A7" s="427">
        <f>SUBTOTAL(103,$B$5:B7)</f>
        <v>3</v>
      </c>
      <c r="B7" s="432" t="s">
        <v>79</v>
      </c>
      <c r="C7" s="432" t="s">
        <v>87</v>
      </c>
      <c r="D7" s="432" t="s">
        <v>88</v>
      </c>
      <c r="E7" s="433" t="s">
        <v>89</v>
      </c>
      <c r="F7" s="432">
        <v>1</v>
      </c>
      <c r="G7" s="432" t="s">
        <v>42</v>
      </c>
      <c r="H7" s="432" t="s">
        <v>83</v>
      </c>
      <c r="I7" s="436"/>
      <c r="J7" s="440" t="s">
        <v>84</v>
      </c>
      <c r="K7" s="441"/>
    </row>
    <row r="8" ht="24.95" customHeight="1" spans="1:11">
      <c r="A8" s="427">
        <f>SUBTOTAL(103,$B$5:B8)</f>
        <v>4</v>
      </c>
      <c r="B8" s="432" t="s">
        <v>79</v>
      </c>
      <c r="C8" s="432" t="s">
        <v>90</v>
      </c>
      <c r="D8" s="432" t="s">
        <v>88</v>
      </c>
      <c r="E8" s="433" t="s">
        <v>91</v>
      </c>
      <c r="F8" s="432">
        <v>1</v>
      </c>
      <c r="G8" s="432" t="s">
        <v>42</v>
      </c>
      <c r="H8" s="432" t="s">
        <v>92</v>
      </c>
      <c r="I8" s="436"/>
      <c r="J8" s="440" t="s">
        <v>84</v>
      </c>
      <c r="K8" s="441"/>
    </row>
    <row r="9" ht="24.95" customHeight="1" spans="1:11">
      <c r="A9" s="427">
        <f>SUBTOTAL(103,$B$5:B9)</f>
        <v>5</v>
      </c>
      <c r="B9" s="432" t="s">
        <v>93</v>
      </c>
      <c r="C9" s="432" t="s">
        <v>94</v>
      </c>
      <c r="D9" s="432"/>
      <c r="E9" s="433"/>
      <c r="F9" s="432">
        <f>2.7*7.3+3*1</f>
        <v>22.71</v>
      </c>
      <c r="G9" s="432" t="s">
        <v>95</v>
      </c>
      <c r="H9" s="432"/>
      <c r="I9" s="436"/>
      <c r="J9" s="440" t="s">
        <v>84</v>
      </c>
      <c r="K9" s="441"/>
    </row>
    <row r="10" ht="24.95" customHeight="1" spans="1:11">
      <c r="A10" s="427">
        <f>SUBTOTAL(103,$B$5:B10)</f>
        <v>6</v>
      </c>
      <c r="B10" s="432" t="s">
        <v>93</v>
      </c>
      <c r="C10" s="432" t="s">
        <v>96</v>
      </c>
      <c r="D10" s="432"/>
      <c r="E10" s="433"/>
      <c r="F10" s="432">
        <f>5.7*4.9+3*1</f>
        <v>30.93</v>
      </c>
      <c r="G10" s="432" t="s">
        <v>95</v>
      </c>
      <c r="H10" s="432"/>
      <c r="I10" s="436"/>
      <c r="J10" s="440" t="s">
        <v>84</v>
      </c>
      <c r="K10" s="441"/>
    </row>
    <row r="11" ht="24.95" customHeight="1" spans="1:11">
      <c r="A11" s="427">
        <f>SUBTOTAL(103,$B$5:B11)</f>
        <v>7</v>
      </c>
      <c r="B11" s="432" t="s">
        <v>93</v>
      </c>
      <c r="C11" s="432" t="s">
        <v>97</v>
      </c>
      <c r="D11" s="432"/>
      <c r="E11" s="433"/>
      <c r="F11" s="432">
        <f>4.6*3.9+3*1</f>
        <v>20.94</v>
      </c>
      <c r="G11" s="432" t="s">
        <v>95</v>
      </c>
      <c r="H11" s="432"/>
      <c r="I11" s="436"/>
      <c r="J11" s="440" t="s">
        <v>84</v>
      </c>
      <c r="K11" s="441"/>
    </row>
    <row r="12" ht="24.95" customHeight="1" spans="1:11">
      <c r="A12" s="427">
        <f>SUBTOTAL(103,$B$5:B12)</f>
        <v>8</v>
      </c>
      <c r="B12" s="434" t="s">
        <v>98</v>
      </c>
      <c r="C12" s="434" t="s">
        <v>99</v>
      </c>
      <c r="D12" s="435" t="s">
        <v>100</v>
      </c>
      <c r="E12" s="433" t="s">
        <v>101</v>
      </c>
      <c r="F12" s="432">
        <v>1</v>
      </c>
      <c r="G12" s="432" t="s">
        <v>42</v>
      </c>
      <c r="H12" s="432" t="s">
        <v>83</v>
      </c>
      <c r="I12" s="436"/>
      <c r="J12" s="440" t="s">
        <v>84</v>
      </c>
      <c r="K12" s="441"/>
    </row>
    <row r="13" ht="24.95" customHeight="1" spans="1:11">
      <c r="A13" s="427">
        <f>SUBTOTAL(103,$B$5:B13)</f>
        <v>9</v>
      </c>
      <c r="B13" s="434" t="s">
        <v>98</v>
      </c>
      <c r="C13" s="432" t="s">
        <v>102</v>
      </c>
      <c r="D13" s="435" t="s">
        <v>100</v>
      </c>
      <c r="E13" s="433" t="s">
        <v>103</v>
      </c>
      <c r="F13" s="432">
        <v>1</v>
      </c>
      <c r="G13" s="432" t="s">
        <v>42</v>
      </c>
      <c r="H13" s="432" t="s">
        <v>83</v>
      </c>
      <c r="I13" s="436"/>
      <c r="J13" s="440" t="s">
        <v>84</v>
      </c>
      <c r="K13" s="441"/>
    </row>
    <row r="14" ht="24.95" customHeight="1" spans="1:11">
      <c r="A14" s="427">
        <f>SUBTOTAL(103,$B$5:B14)</f>
        <v>10</v>
      </c>
      <c r="B14" s="434" t="s">
        <v>98</v>
      </c>
      <c r="C14" s="432" t="s">
        <v>102</v>
      </c>
      <c r="D14" s="435" t="s">
        <v>100</v>
      </c>
      <c r="E14" s="433" t="s">
        <v>103</v>
      </c>
      <c r="F14" s="432">
        <v>1</v>
      </c>
      <c r="G14" s="432" t="s">
        <v>42</v>
      </c>
      <c r="H14" s="432" t="s">
        <v>83</v>
      </c>
      <c r="I14" s="436"/>
      <c r="J14" s="440" t="s">
        <v>84</v>
      </c>
      <c r="K14" s="441"/>
    </row>
    <row r="15" ht="24.95" customHeight="1" spans="1:11">
      <c r="A15" s="427">
        <f>SUBTOTAL(103,$B$5:B15)</f>
        <v>11</v>
      </c>
      <c r="B15" s="432" t="s">
        <v>104</v>
      </c>
      <c r="C15" s="432" t="s">
        <v>105</v>
      </c>
      <c r="D15" s="432" t="s">
        <v>106</v>
      </c>
      <c r="E15" s="433" t="s">
        <v>107</v>
      </c>
      <c r="F15" s="432">
        <v>1</v>
      </c>
      <c r="G15" s="432" t="s">
        <v>42</v>
      </c>
      <c r="H15" s="432"/>
      <c r="I15" s="436"/>
      <c r="J15" s="440" t="s">
        <v>84</v>
      </c>
      <c r="K15" s="441"/>
    </row>
    <row r="16" ht="24.95" customHeight="1" spans="1:11">
      <c r="A16" s="427">
        <f>SUBTOTAL(103,$B$5:B16)</f>
        <v>12</v>
      </c>
      <c r="B16" s="432" t="s">
        <v>108</v>
      </c>
      <c r="C16" s="432" t="s">
        <v>105</v>
      </c>
      <c r="D16" s="432" t="s">
        <v>106</v>
      </c>
      <c r="E16" s="433" t="s">
        <v>109</v>
      </c>
      <c r="F16" s="432">
        <v>1</v>
      </c>
      <c r="G16" s="432" t="s">
        <v>42</v>
      </c>
      <c r="H16" s="432"/>
      <c r="I16" s="436"/>
      <c r="J16" s="440" t="s">
        <v>84</v>
      </c>
      <c r="K16" s="441"/>
    </row>
    <row r="17" ht="24.95" customHeight="1" spans="1:11">
      <c r="A17" s="427">
        <f>SUBTOTAL(103,$B$5:B17)</f>
        <v>13</v>
      </c>
      <c r="B17" s="432" t="s">
        <v>110</v>
      </c>
      <c r="C17" s="432" t="s">
        <v>111</v>
      </c>
      <c r="D17" s="432" t="s">
        <v>112</v>
      </c>
      <c r="E17" s="433" t="s">
        <v>113</v>
      </c>
      <c r="F17" s="432">
        <v>1</v>
      </c>
      <c r="G17" s="432" t="s">
        <v>42</v>
      </c>
      <c r="H17" s="432" t="s">
        <v>83</v>
      </c>
      <c r="I17" s="436"/>
      <c r="J17" s="440" t="s">
        <v>84</v>
      </c>
      <c r="K17" s="441"/>
    </row>
    <row r="18" ht="24.95" customHeight="1" spans="1:11">
      <c r="A18" s="427">
        <f>SUBTOTAL(103,$B$5:B18)</f>
        <v>14</v>
      </c>
      <c r="B18" s="432" t="s">
        <v>114</v>
      </c>
      <c r="C18" s="432" t="s">
        <v>115</v>
      </c>
      <c r="D18" s="432" t="s">
        <v>116</v>
      </c>
      <c r="E18" s="433" t="s">
        <v>117</v>
      </c>
      <c r="F18" s="432">
        <v>2</v>
      </c>
      <c r="G18" s="432" t="s">
        <v>42</v>
      </c>
      <c r="H18" s="432" t="s">
        <v>83</v>
      </c>
      <c r="I18" s="436"/>
      <c r="J18" s="440" t="s">
        <v>84</v>
      </c>
      <c r="K18" s="441"/>
    </row>
    <row r="19" ht="24.95" customHeight="1" spans="1:11">
      <c r="A19" s="427">
        <f>SUBTOTAL(103,$B$5:B19)</f>
        <v>15</v>
      </c>
      <c r="B19" s="432" t="s">
        <v>114</v>
      </c>
      <c r="C19" s="432"/>
      <c r="D19" s="432"/>
      <c r="E19" s="433" t="s">
        <v>117</v>
      </c>
      <c r="F19" s="432">
        <v>1</v>
      </c>
      <c r="G19" s="432" t="s">
        <v>42</v>
      </c>
      <c r="H19" s="432"/>
      <c r="I19" s="436"/>
      <c r="J19" s="440" t="s">
        <v>84</v>
      </c>
      <c r="K19" s="441"/>
    </row>
    <row r="20" ht="24.95" customHeight="1" spans="1:11">
      <c r="A20" s="427">
        <f>SUBTOTAL(103,$B$5:B20)</f>
        <v>16</v>
      </c>
      <c r="B20" s="432" t="s">
        <v>118</v>
      </c>
      <c r="C20" s="432" t="s">
        <v>119</v>
      </c>
      <c r="D20" s="432" t="s">
        <v>120</v>
      </c>
      <c r="E20" s="433" t="s">
        <v>121</v>
      </c>
      <c r="F20" s="432">
        <v>1</v>
      </c>
      <c r="G20" s="432" t="s">
        <v>59</v>
      </c>
      <c r="H20" s="432"/>
      <c r="I20" s="436"/>
      <c r="J20" s="440" t="s">
        <v>84</v>
      </c>
      <c r="K20" s="441"/>
    </row>
    <row r="21" ht="24.95" customHeight="1" spans="1:11">
      <c r="A21" s="427">
        <f>SUBTOTAL(103,$B$5:B21)</f>
        <v>17</v>
      </c>
      <c r="B21" s="432" t="s">
        <v>122</v>
      </c>
      <c r="C21" s="432" t="s">
        <v>123</v>
      </c>
      <c r="D21" s="432" t="s">
        <v>124</v>
      </c>
      <c r="E21" s="433" t="s">
        <v>121</v>
      </c>
      <c r="F21" s="432">
        <v>1</v>
      </c>
      <c r="G21" s="432" t="s">
        <v>59</v>
      </c>
      <c r="H21" s="432" t="s">
        <v>83</v>
      </c>
      <c r="I21" s="436"/>
      <c r="J21" s="440" t="s">
        <v>84</v>
      </c>
      <c r="K21" s="441"/>
    </row>
    <row r="22" ht="24.95" customHeight="1" spans="1:11">
      <c r="A22" s="427">
        <f>SUBTOTAL(103,$B$5:B22)</f>
        <v>18</v>
      </c>
      <c r="B22" s="432" t="s">
        <v>125</v>
      </c>
      <c r="C22" s="432" t="s">
        <v>126</v>
      </c>
      <c r="D22" s="432" t="s">
        <v>127</v>
      </c>
      <c r="E22" s="433" t="s">
        <v>103</v>
      </c>
      <c r="F22" s="432">
        <v>6</v>
      </c>
      <c r="G22" s="432" t="s">
        <v>59</v>
      </c>
      <c r="H22" s="432"/>
      <c r="I22" s="436"/>
      <c r="J22" s="440" t="s">
        <v>84</v>
      </c>
      <c r="K22" s="441"/>
    </row>
    <row r="23" ht="24.95" customHeight="1" spans="1:11">
      <c r="A23" s="427">
        <f>SUBTOTAL(103,$B$5:B23)</f>
        <v>19</v>
      </c>
      <c r="B23" s="432" t="s">
        <v>125</v>
      </c>
      <c r="C23" s="432" t="s">
        <v>128</v>
      </c>
      <c r="D23" s="435" t="s">
        <v>129</v>
      </c>
      <c r="E23" s="433" t="s">
        <v>130</v>
      </c>
      <c r="F23" s="432">
        <v>2</v>
      </c>
      <c r="G23" s="432" t="s">
        <v>59</v>
      </c>
      <c r="H23" s="432" t="s">
        <v>83</v>
      </c>
      <c r="I23" s="436"/>
      <c r="J23" s="440" t="s">
        <v>84</v>
      </c>
      <c r="K23" s="441"/>
    </row>
    <row r="24" ht="24.95" customHeight="1" spans="1:11">
      <c r="A24" s="427">
        <f>SUBTOTAL(103,$B$5:B24)</f>
        <v>20</v>
      </c>
      <c r="B24" s="432" t="s">
        <v>125</v>
      </c>
      <c r="C24" s="432" t="s">
        <v>131</v>
      </c>
      <c r="D24" s="435" t="s">
        <v>129</v>
      </c>
      <c r="E24" s="433" t="s">
        <v>132</v>
      </c>
      <c r="F24" s="432">
        <v>1</v>
      </c>
      <c r="G24" s="432" t="s">
        <v>59</v>
      </c>
      <c r="H24" s="436"/>
      <c r="I24" s="436"/>
      <c r="J24" s="440" t="s">
        <v>84</v>
      </c>
      <c r="K24" s="441"/>
    </row>
    <row r="25" ht="24.95" customHeight="1" spans="1:11">
      <c r="A25" s="427">
        <f>SUBTOTAL(103,$B$5:B25)</f>
        <v>21</v>
      </c>
      <c r="B25" s="432" t="s">
        <v>133</v>
      </c>
      <c r="C25" s="432" t="s">
        <v>134</v>
      </c>
      <c r="D25" s="435"/>
      <c r="E25" s="433" t="s">
        <v>130</v>
      </c>
      <c r="F25" s="432">
        <v>4</v>
      </c>
      <c r="G25" s="432" t="s">
        <v>59</v>
      </c>
      <c r="H25" s="436"/>
      <c r="I25" s="436"/>
      <c r="J25" s="440" t="s">
        <v>84</v>
      </c>
      <c r="K25" s="441"/>
    </row>
    <row r="26" ht="24.95" customHeight="1" spans="1:11">
      <c r="A26" s="427">
        <f>SUBTOTAL(103,$B$5:B26)</f>
        <v>22</v>
      </c>
      <c r="B26" s="432" t="s">
        <v>135</v>
      </c>
      <c r="C26" s="432"/>
      <c r="D26" s="432"/>
      <c r="E26" s="433" t="s">
        <v>130</v>
      </c>
      <c r="F26" s="432">
        <v>6</v>
      </c>
      <c r="G26" s="432" t="s">
        <v>59</v>
      </c>
      <c r="H26" s="436"/>
      <c r="I26" s="436"/>
      <c r="J26" s="440" t="s">
        <v>84</v>
      </c>
      <c r="K26" s="441"/>
    </row>
    <row r="27" ht="24.95" customHeight="1" spans="1:11">
      <c r="A27" s="427">
        <f>SUBTOTAL(103,$B$5:B27)</f>
        <v>23</v>
      </c>
      <c r="B27" s="432" t="s">
        <v>136</v>
      </c>
      <c r="C27" s="432"/>
      <c r="D27" s="432"/>
      <c r="E27" s="433" t="s">
        <v>130</v>
      </c>
      <c r="F27" s="432">
        <v>30</v>
      </c>
      <c r="G27" s="432" t="s">
        <v>59</v>
      </c>
      <c r="H27" s="436"/>
      <c r="I27" s="436"/>
      <c r="J27" s="440" t="s">
        <v>84</v>
      </c>
      <c r="K27" s="441"/>
    </row>
    <row r="28" ht="24.95" customHeight="1" spans="1:11">
      <c r="A28" s="427">
        <f>SUBTOTAL(103,$B$5:B28)</f>
        <v>24</v>
      </c>
      <c r="B28" s="432" t="s">
        <v>137</v>
      </c>
      <c r="C28" s="432"/>
      <c r="D28" s="432"/>
      <c r="E28" s="433" t="s">
        <v>130</v>
      </c>
      <c r="F28" s="432">
        <v>1</v>
      </c>
      <c r="G28" s="432" t="s">
        <v>59</v>
      </c>
      <c r="H28" s="436"/>
      <c r="I28" s="436"/>
      <c r="J28" s="440" t="s">
        <v>84</v>
      </c>
      <c r="K28" s="441"/>
    </row>
    <row r="29" ht="24.95" customHeight="1" spans="1:11">
      <c r="A29" s="427">
        <f>SUBTOTAL(103,$B$5:B29)</f>
        <v>25</v>
      </c>
      <c r="B29" s="432" t="s">
        <v>138</v>
      </c>
      <c r="C29" s="432"/>
      <c r="D29" s="432"/>
      <c r="E29" s="433" t="s">
        <v>130</v>
      </c>
      <c r="F29" s="432">
        <v>1</v>
      </c>
      <c r="G29" s="432" t="s">
        <v>36</v>
      </c>
      <c r="H29" s="436"/>
      <c r="I29" s="436"/>
      <c r="J29" s="440" t="s">
        <v>84</v>
      </c>
      <c r="K29" s="441"/>
    </row>
    <row r="30" ht="24.95" customHeight="1" spans="1:11">
      <c r="A30" s="427">
        <f>SUBTOTAL(103,$B$5:B30)</f>
        <v>26</v>
      </c>
      <c r="B30" s="432" t="s">
        <v>139</v>
      </c>
      <c r="C30" s="432"/>
      <c r="D30" s="432"/>
      <c r="E30" s="433" t="s">
        <v>130</v>
      </c>
      <c r="F30" s="432">
        <v>12</v>
      </c>
      <c r="G30" s="432" t="s">
        <v>36</v>
      </c>
      <c r="H30" s="436"/>
      <c r="I30" s="436"/>
      <c r="J30" s="440" t="s">
        <v>84</v>
      </c>
      <c r="K30" s="441"/>
    </row>
    <row r="31" ht="24.95" customHeight="1" spans="1:11">
      <c r="A31" s="427">
        <f>SUBTOTAL(103,$B$5:B31)</f>
        <v>27</v>
      </c>
      <c r="B31" s="432" t="s">
        <v>140</v>
      </c>
      <c r="C31" s="432"/>
      <c r="D31" s="432"/>
      <c r="E31" s="433" t="s">
        <v>86</v>
      </c>
      <c r="F31" s="432">
        <v>1</v>
      </c>
      <c r="G31" s="432" t="s">
        <v>36</v>
      </c>
      <c r="H31" s="436"/>
      <c r="I31" s="436"/>
      <c r="J31" s="440" t="s">
        <v>84</v>
      </c>
      <c r="K31" s="441"/>
    </row>
    <row r="32" ht="24.95" customHeight="1" spans="1:16">
      <c r="A32" s="427">
        <f>SUBTOTAL(103,$B$5:B32)</f>
        <v>28</v>
      </c>
      <c r="B32" s="432" t="s">
        <v>141</v>
      </c>
      <c r="C32" s="432"/>
      <c r="D32" s="432"/>
      <c r="E32" s="433" t="s">
        <v>86</v>
      </c>
      <c r="F32" s="432">
        <v>1</v>
      </c>
      <c r="G32" s="432" t="s">
        <v>59</v>
      </c>
      <c r="H32" s="436"/>
      <c r="I32" s="436"/>
      <c r="J32" s="440" t="s">
        <v>84</v>
      </c>
      <c r="K32" s="441"/>
      <c r="P32" s="432"/>
    </row>
    <row r="33" ht="24.95" customHeight="1" spans="1:16">
      <c r="A33" s="427">
        <f>SUBTOTAL(103,$B$5:B33)</f>
        <v>29</v>
      </c>
      <c r="B33" s="432" t="s">
        <v>58</v>
      </c>
      <c r="C33" s="432"/>
      <c r="D33" s="432"/>
      <c r="E33" s="433" t="s">
        <v>86</v>
      </c>
      <c r="F33" s="432">
        <v>1</v>
      </c>
      <c r="G33" s="432" t="s">
        <v>59</v>
      </c>
      <c r="H33" s="436"/>
      <c r="I33" s="436"/>
      <c r="J33" s="440" t="s">
        <v>84</v>
      </c>
      <c r="K33" s="441"/>
      <c r="P33" s="432"/>
    </row>
    <row r="34" ht="24.95" customHeight="1" spans="1:16">
      <c r="A34" s="427">
        <f>SUBTOTAL(103,$B$5:B34)</f>
        <v>30</v>
      </c>
      <c r="B34" s="432" t="s">
        <v>142</v>
      </c>
      <c r="C34" s="432"/>
      <c r="D34" s="432"/>
      <c r="E34" s="433" t="s">
        <v>86</v>
      </c>
      <c r="F34" s="432">
        <v>3</v>
      </c>
      <c r="G34" s="432" t="s">
        <v>59</v>
      </c>
      <c r="H34" s="436"/>
      <c r="I34" s="436"/>
      <c r="J34" s="440" t="s">
        <v>84</v>
      </c>
      <c r="K34" s="441"/>
      <c r="P34" s="432"/>
    </row>
    <row r="35" ht="24.95" customHeight="1" spans="1:16">
      <c r="A35" s="427">
        <f>SUBTOTAL(103,$B$5:B35)</f>
        <v>31</v>
      </c>
      <c r="B35" s="432" t="s">
        <v>143</v>
      </c>
      <c r="C35" s="432"/>
      <c r="D35" s="432"/>
      <c r="E35" s="433" t="s">
        <v>86</v>
      </c>
      <c r="F35" s="432">
        <v>2</v>
      </c>
      <c r="G35" s="432" t="s">
        <v>59</v>
      </c>
      <c r="H35" s="436"/>
      <c r="I35" s="436"/>
      <c r="J35" s="440" t="s">
        <v>84</v>
      </c>
      <c r="K35" s="441"/>
      <c r="P35" s="432"/>
    </row>
    <row r="36" ht="24.95" customHeight="1" spans="1:16">
      <c r="A36" s="427">
        <f>SUBTOTAL(103,$B$5:B36)</f>
        <v>32</v>
      </c>
      <c r="B36" s="432" t="s">
        <v>144</v>
      </c>
      <c r="C36" s="432"/>
      <c r="D36" s="432"/>
      <c r="E36" s="433" t="s">
        <v>86</v>
      </c>
      <c r="F36" s="432">
        <v>1</v>
      </c>
      <c r="G36" s="432" t="s">
        <v>59</v>
      </c>
      <c r="H36" s="436"/>
      <c r="I36" s="436"/>
      <c r="J36" s="440" t="s">
        <v>84</v>
      </c>
      <c r="K36" s="441"/>
      <c r="P36" s="432"/>
    </row>
    <row r="37" ht="24.95" customHeight="1" spans="1:16">
      <c r="A37" s="427">
        <f>SUBTOTAL(103,$B$5:B37)</f>
        <v>33</v>
      </c>
      <c r="B37" s="432" t="s">
        <v>145</v>
      </c>
      <c r="C37" s="432" t="s">
        <v>146</v>
      </c>
      <c r="D37" s="432"/>
      <c r="E37" s="433" t="s">
        <v>121</v>
      </c>
      <c r="F37" s="432">
        <v>120</v>
      </c>
      <c r="G37" s="432" t="s">
        <v>147</v>
      </c>
      <c r="H37" s="436"/>
      <c r="I37" s="436"/>
      <c r="J37" s="440" t="s">
        <v>84</v>
      </c>
      <c r="K37" s="441"/>
      <c r="P37" s="432"/>
    </row>
    <row r="38" ht="24.95" customHeight="1" spans="1:11">
      <c r="A38" s="427">
        <f>SUBTOTAL(103,$B$5:B38)</f>
        <v>34</v>
      </c>
      <c r="B38" s="432" t="s">
        <v>148</v>
      </c>
      <c r="C38" s="432" t="s">
        <v>149</v>
      </c>
      <c r="D38" s="432"/>
      <c r="E38" s="433" t="s">
        <v>121</v>
      </c>
      <c r="F38" s="432">
        <v>100</v>
      </c>
      <c r="G38" s="432" t="s">
        <v>147</v>
      </c>
      <c r="H38" s="436"/>
      <c r="I38" s="436"/>
      <c r="J38" s="440" t="s">
        <v>84</v>
      </c>
      <c r="K38" s="441"/>
    </row>
    <row r="39" ht="24.95" customHeight="1" spans="1:11">
      <c r="A39" s="427">
        <f>SUBTOTAL(103,$B$5:B39)</f>
        <v>35</v>
      </c>
      <c r="B39" s="432" t="s">
        <v>150</v>
      </c>
      <c r="C39" s="432" t="s">
        <v>151</v>
      </c>
      <c r="D39" s="432"/>
      <c r="E39" s="433" t="s">
        <v>121</v>
      </c>
      <c r="F39" s="432">
        <v>100</v>
      </c>
      <c r="G39" s="432" t="s">
        <v>147</v>
      </c>
      <c r="H39" s="436"/>
      <c r="I39" s="436"/>
      <c r="J39" s="440" t="s">
        <v>84</v>
      </c>
      <c r="K39" s="441"/>
    </row>
    <row r="40" ht="24.95" customHeight="1" spans="1:11">
      <c r="A40" s="427">
        <f>SUBTOTAL(103,$B$5:B40)</f>
        <v>36</v>
      </c>
      <c r="B40" s="432" t="s">
        <v>152</v>
      </c>
      <c r="C40" s="432" t="s">
        <v>146</v>
      </c>
      <c r="D40" s="432"/>
      <c r="E40" s="433" t="s">
        <v>121</v>
      </c>
      <c r="F40" s="432">
        <v>50</v>
      </c>
      <c r="G40" s="432" t="s">
        <v>147</v>
      </c>
      <c r="H40" s="436"/>
      <c r="I40" s="436"/>
      <c r="J40" s="440" t="s">
        <v>84</v>
      </c>
      <c r="K40" s="441"/>
    </row>
    <row r="41" ht="24.95" customHeight="1" spans="1:11">
      <c r="A41" s="427">
        <f>SUBTOTAL(103,$B$5:B41)</f>
        <v>37</v>
      </c>
      <c r="B41" s="432" t="s">
        <v>153</v>
      </c>
      <c r="C41" s="432">
        <v>400</v>
      </c>
      <c r="D41" s="432"/>
      <c r="E41" s="433" t="s">
        <v>121</v>
      </c>
      <c r="F41" s="432">
        <v>560</v>
      </c>
      <c r="G41" s="432" t="s">
        <v>147</v>
      </c>
      <c r="H41" s="436"/>
      <c r="I41" s="436"/>
      <c r="J41" s="440" t="s">
        <v>84</v>
      </c>
      <c r="K41" s="441"/>
    </row>
    <row r="42" ht="24.95" customHeight="1" spans="1:11">
      <c r="A42" s="427">
        <f>SUBTOTAL(103,$B$5:B42)</f>
        <v>38</v>
      </c>
      <c r="B42" s="432" t="s">
        <v>154</v>
      </c>
      <c r="C42" s="432" t="s">
        <v>155</v>
      </c>
      <c r="D42" s="432"/>
      <c r="E42" s="433" t="s">
        <v>121</v>
      </c>
      <c r="F42" s="432">
        <v>60</v>
      </c>
      <c r="G42" s="432" t="s">
        <v>147</v>
      </c>
      <c r="H42" s="436"/>
      <c r="I42" s="436"/>
      <c r="J42" s="440" t="s">
        <v>84</v>
      </c>
      <c r="K42" s="441"/>
    </row>
    <row r="43" ht="24.95" customHeight="1" spans="1:11">
      <c r="A43" s="427">
        <f>SUBTOTAL(103,$B$5:B43)</f>
        <v>39</v>
      </c>
      <c r="B43" s="432" t="s">
        <v>156</v>
      </c>
      <c r="C43" s="432" t="s">
        <v>146</v>
      </c>
      <c r="D43" s="432"/>
      <c r="E43" s="433" t="s">
        <v>121</v>
      </c>
      <c r="F43" s="432">
        <v>180</v>
      </c>
      <c r="G43" s="432" t="s">
        <v>147</v>
      </c>
      <c r="H43" s="436"/>
      <c r="I43" s="436"/>
      <c r="J43" s="440" t="s">
        <v>84</v>
      </c>
      <c r="K43" s="441"/>
    </row>
    <row r="44" ht="24.95" customHeight="1" spans="1:11">
      <c r="A44" s="427">
        <f>SUBTOTAL(103,$B$5:B44)</f>
        <v>40</v>
      </c>
      <c r="B44" s="432" t="s">
        <v>157</v>
      </c>
      <c r="C44" s="432" t="s">
        <v>158</v>
      </c>
      <c r="D44" s="432"/>
      <c r="E44" s="433" t="s">
        <v>121</v>
      </c>
      <c r="F44" s="432">
        <v>90</v>
      </c>
      <c r="G44" s="432" t="s">
        <v>147</v>
      </c>
      <c r="H44" s="436"/>
      <c r="I44" s="436"/>
      <c r="J44" s="440" t="s">
        <v>84</v>
      </c>
      <c r="K44" s="441"/>
    </row>
    <row r="45" ht="24.95" customHeight="1" spans="1:11">
      <c r="A45" s="427">
        <f>SUBTOTAL(103,$B$5:B45)</f>
        <v>41</v>
      </c>
      <c r="B45" s="432" t="s">
        <v>159</v>
      </c>
      <c r="C45" s="432" t="s">
        <v>160</v>
      </c>
      <c r="D45" s="432"/>
      <c r="E45" s="433" t="s">
        <v>121</v>
      </c>
      <c r="F45" s="432">
        <v>90</v>
      </c>
      <c r="G45" s="432" t="s">
        <v>147</v>
      </c>
      <c r="H45" s="436"/>
      <c r="I45" s="436"/>
      <c r="J45" s="440" t="s">
        <v>84</v>
      </c>
      <c r="K45" s="441"/>
    </row>
    <row r="46" ht="24.95" customHeight="1" spans="1:11">
      <c r="A46" s="427">
        <f>SUBTOTAL(103,$B$5:B46)</f>
        <v>42</v>
      </c>
      <c r="B46" s="432" t="s">
        <v>161</v>
      </c>
      <c r="C46" s="432" t="s">
        <v>149</v>
      </c>
      <c r="D46" s="432"/>
      <c r="E46" s="433" t="s">
        <v>121</v>
      </c>
      <c r="F46" s="432">
        <v>100</v>
      </c>
      <c r="G46" s="432" t="s">
        <v>147</v>
      </c>
      <c r="H46" s="436"/>
      <c r="I46" s="436"/>
      <c r="J46" s="440" t="s">
        <v>84</v>
      </c>
      <c r="K46" s="441"/>
    </row>
    <row r="47" ht="24.95" customHeight="1" spans="1:11">
      <c r="A47" s="427">
        <f>SUBTOTAL(103,$B$5:B47)</f>
        <v>43</v>
      </c>
      <c r="B47" s="432" t="s">
        <v>162</v>
      </c>
      <c r="C47" s="432" t="s">
        <v>158</v>
      </c>
      <c r="D47" s="432"/>
      <c r="E47" s="433" t="s">
        <v>121</v>
      </c>
      <c r="F47" s="432">
        <v>100</v>
      </c>
      <c r="G47" s="432" t="s">
        <v>147</v>
      </c>
      <c r="H47" s="436"/>
      <c r="I47" s="436"/>
      <c r="J47" s="440" t="s">
        <v>84</v>
      </c>
      <c r="K47" s="441"/>
    </row>
    <row r="48" ht="24.95" customHeight="1" spans="1:11">
      <c r="A48" s="427">
        <f>SUBTOTAL(103,$B$5:B48)</f>
        <v>44</v>
      </c>
      <c r="B48" s="432" t="s">
        <v>163</v>
      </c>
      <c r="C48" s="432" t="s">
        <v>160</v>
      </c>
      <c r="D48" s="432"/>
      <c r="E48" s="433" t="s">
        <v>121</v>
      </c>
      <c r="F48" s="432">
        <v>100</v>
      </c>
      <c r="G48" s="432" t="s">
        <v>147</v>
      </c>
      <c r="H48" s="436"/>
      <c r="I48" s="436"/>
      <c r="J48" s="440" t="s">
        <v>84</v>
      </c>
      <c r="K48" s="441"/>
    </row>
    <row r="49" ht="24.95" customHeight="1" spans="1:11">
      <c r="A49" s="427">
        <f>SUBTOTAL(103,$B$5:B49)</f>
        <v>45</v>
      </c>
      <c r="B49" s="432" t="s">
        <v>164</v>
      </c>
      <c r="C49" s="432" t="s">
        <v>165</v>
      </c>
      <c r="D49" s="432"/>
      <c r="E49" s="433" t="s">
        <v>121</v>
      </c>
      <c r="F49" s="432">
        <v>110</v>
      </c>
      <c r="G49" s="432" t="s">
        <v>147</v>
      </c>
      <c r="H49" s="436"/>
      <c r="I49" s="436"/>
      <c r="J49" s="440" t="s">
        <v>84</v>
      </c>
      <c r="K49" s="441"/>
    </row>
    <row r="50" ht="24.95" customHeight="1" spans="1:11">
      <c r="A50" s="427">
        <f>SUBTOTAL(103,$B$5:B50)</f>
        <v>46</v>
      </c>
      <c r="B50" s="432" t="s">
        <v>166</v>
      </c>
      <c r="C50" s="432" t="s">
        <v>167</v>
      </c>
      <c r="D50" s="432"/>
      <c r="E50" s="433" t="s">
        <v>121</v>
      </c>
      <c r="F50" s="432">
        <v>110</v>
      </c>
      <c r="G50" s="432" t="s">
        <v>147</v>
      </c>
      <c r="H50" s="436"/>
      <c r="I50" s="436"/>
      <c r="J50" s="440" t="s">
        <v>84</v>
      </c>
      <c r="K50" s="441"/>
    </row>
    <row r="51" ht="24.95" customHeight="1" spans="1:11">
      <c r="A51" s="427">
        <f>SUBTOTAL(103,$B$5:B51)</f>
        <v>47</v>
      </c>
      <c r="B51" s="432" t="s">
        <v>168</v>
      </c>
      <c r="C51" s="432" t="s">
        <v>160</v>
      </c>
      <c r="D51" s="432"/>
      <c r="E51" s="433" t="s">
        <v>121</v>
      </c>
      <c r="F51" s="432">
        <v>110</v>
      </c>
      <c r="G51" s="432" t="s">
        <v>147</v>
      </c>
      <c r="H51" s="436"/>
      <c r="I51" s="436"/>
      <c r="J51" s="440" t="s">
        <v>84</v>
      </c>
      <c r="K51" s="441"/>
    </row>
    <row r="52" ht="24.95" customHeight="1" spans="1:11">
      <c r="A52" s="427">
        <f>SUBTOTAL(103,$B$5:B52)</f>
        <v>48</v>
      </c>
      <c r="B52" s="432" t="s">
        <v>169</v>
      </c>
      <c r="C52" s="432" t="s">
        <v>170</v>
      </c>
      <c r="D52" s="432"/>
      <c r="E52" s="433" t="s">
        <v>121</v>
      </c>
      <c r="F52" s="432">
        <v>30</v>
      </c>
      <c r="G52" s="432" t="s">
        <v>147</v>
      </c>
      <c r="H52" s="436"/>
      <c r="I52" s="436"/>
      <c r="J52" s="440" t="s">
        <v>84</v>
      </c>
      <c r="K52" s="441"/>
    </row>
    <row r="53" ht="24.95" customHeight="1" spans="1:11">
      <c r="A53" s="427">
        <f>SUBTOTAL(103,$B$5:B53)</f>
        <v>49</v>
      </c>
      <c r="B53" s="432" t="s">
        <v>171</v>
      </c>
      <c r="C53" s="432" t="s">
        <v>158</v>
      </c>
      <c r="D53" s="432"/>
      <c r="E53" s="433" t="s">
        <v>121</v>
      </c>
      <c r="F53" s="432">
        <v>30</v>
      </c>
      <c r="G53" s="432" t="s">
        <v>147</v>
      </c>
      <c r="H53" s="436"/>
      <c r="I53" s="436"/>
      <c r="J53" s="440" t="s">
        <v>84</v>
      </c>
      <c r="K53" s="441"/>
    </row>
    <row r="54" ht="24.95" customHeight="1" spans="1:11">
      <c r="A54" s="427">
        <f>SUBTOTAL(103,$B$5:B54)</f>
        <v>50</v>
      </c>
      <c r="B54" s="432" t="s">
        <v>172</v>
      </c>
      <c r="C54" s="432" t="s">
        <v>160</v>
      </c>
      <c r="D54" s="432"/>
      <c r="E54" s="433" t="s">
        <v>121</v>
      </c>
      <c r="F54" s="432">
        <f>56*2</f>
        <v>112</v>
      </c>
      <c r="G54" s="432" t="s">
        <v>147</v>
      </c>
      <c r="H54" s="436"/>
      <c r="I54" s="436"/>
      <c r="J54" s="440" t="s">
        <v>84</v>
      </c>
      <c r="K54" s="441"/>
    </row>
    <row r="55" ht="24.95" customHeight="1" spans="1:11">
      <c r="A55" s="427">
        <f>SUBTOTAL(103,$B$5:B55)</f>
        <v>51</v>
      </c>
      <c r="B55" s="432" t="s">
        <v>172</v>
      </c>
      <c r="C55" s="432" t="s">
        <v>173</v>
      </c>
      <c r="D55" s="432"/>
      <c r="E55" s="433" t="s">
        <v>121</v>
      </c>
      <c r="F55" s="432">
        <f>56*2</f>
        <v>112</v>
      </c>
      <c r="G55" s="432" t="s">
        <v>147</v>
      </c>
      <c r="H55" s="436"/>
      <c r="I55" s="436"/>
      <c r="J55" s="440" t="s">
        <v>84</v>
      </c>
      <c r="K55" s="441"/>
    </row>
    <row r="56" ht="24.95" customHeight="1" spans="1:11">
      <c r="A56" s="427">
        <f>SUBTOTAL(103,$B$5:B56)</f>
        <v>52</v>
      </c>
      <c r="B56" s="432" t="s">
        <v>174</v>
      </c>
      <c r="C56" s="432" t="s">
        <v>160</v>
      </c>
      <c r="D56" s="432"/>
      <c r="E56" s="433" t="s">
        <v>121</v>
      </c>
      <c r="F56" s="432">
        <v>30</v>
      </c>
      <c r="G56" s="432" t="s">
        <v>147</v>
      </c>
      <c r="H56" s="436"/>
      <c r="I56" s="436"/>
      <c r="J56" s="440" t="s">
        <v>84</v>
      </c>
      <c r="K56" s="441"/>
    </row>
    <row r="57" ht="24.95" customHeight="1" spans="1:11">
      <c r="A57" s="427">
        <f>SUBTOTAL(103,$B$5:B57)</f>
        <v>53</v>
      </c>
      <c r="B57" s="432" t="s">
        <v>175</v>
      </c>
      <c r="C57" s="432" t="s">
        <v>176</v>
      </c>
      <c r="D57" s="432"/>
      <c r="E57" s="433" t="s">
        <v>109</v>
      </c>
      <c r="F57" s="432">
        <v>1</v>
      </c>
      <c r="G57" s="432" t="s">
        <v>36</v>
      </c>
      <c r="H57" s="436"/>
      <c r="I57" s="436"/>
      <c r="J57" s="440" t="s">
        <v>177</v>
      </c>
      <c r="K57" s="441"/>
    </row>
    <row r="58" ht="24.95" customHeight="1" spans="1:11">
      <c r="A58" s="427">
        <f>SUBTOTAL(103,$B$5:B58)</f>
        <v>54</v>
      </c>
      <c r="B58" s="432" t="s">
        <v>175</v>
      </c>
      <c r="C58" s="432" t="s">
        <v>176</v>
      </c>
      <c r="D58" s="432"/>
      <c r="E58" s="433" t="s">
        <v>121</v>
      </c>
      <c r="F58" s="432">
        <v>1</v>
      </c>
      <c r="G58" s="432" t="s">
        <v>36</v>
      </c>
      <c r="H58" s="436"/>
      <c r="I58" s="436"/>
      <c r="J58" s="440" t="s">
        <v>177</v>
      </c>
      <c r="K58" s="441"/>
    </row>
    <row r="59" ht="24.95" customHeight="1" spans="1:11">
      <c r="A59" s="427">
        <f>SUBTOTAL(103,$B$5:B59)</f>
        <v>55</v>
      </c>
      <c r="B59" s="432" t="s">
        <v>175</v>
      </c>
      <c r="C59" s="432" t="s">
        <v>178</v>
      </c>
      <c r="D59" s="432"/>
      <c r="E59" s="433" t="s">
        <v>121</v>
      </c>
      <c r="F59" s="432">
        <v>1</v>
      </c>
      <c r="G59" s="432" t="s">
        <v>36</v>
      </c>
      <c r="H59" s="436"/>
      <c r="I59" s="436"/>
      <c r="J59" s="440" t="s">
        <v>177</v>
      </c>
      <c r="K59" s="441"/>
    </row>
    <row r="60" ht="24.95" customHeight="1" spans="1:11">
      <c r="A60" s="427">
        <f>SUBTOTAL(103,$B$5:B60)</f>
        <v>56</v>
      </c>
      <c r="B60" s="432" t="s">
        <v>179</v>
      </c>
      <c r="C60" s="432"/>
      <c r="D60" s="432"/>
      <c r="E60" s="433" t="s">
        <v>121</v>
      </c>
      <c r="F60" s="432">
        <v>12</v>
      </c>
      <c r="G60" s="432" t="s">
        <v>180</v>
      </c>
      <c r="H60" s="436"/>
      <c r="I60" s="436"/>
      <c r="J60" s="440" t="s">
        <v>84</v>
      </c>
      <c r="K60" s="441"/>
    </row>
    <row r="61" ht="24.95" customHeight="1" spans="1:11">
      <c r="A61" s="427">
        <f>SUBTOTAL(103,$B$5:B61)</f>
        <v>57</v>
      </c>
      <c r="B61" s="432" t="s">
        <v>181</v>
      </c>
      <c r="C61" s="432"/>
      <c r="D61" s="432"/>
      <c r="E61" s="433" t="s">
        <v>121</v>
      </c>
      <c r="F61" s="432">
        <v>16</v>
      </c>
      <c r="G61" s="432" t="s">
        <v>36</v>
      </c>
      <c r="H61" s="436"/>
      <c r="I61" s="436"/>
      <c r="J61" s="440" t="s">
        <v>84</v>
      </c>
      <c r="K61" s="441"/>
    </row>
    <row r="62" ht="24.95" customHeight="1" spans="1:11">
      <c r="A62" s="427">
        <f>SUBTOTAL(103,$B$5:B62)</f>
        <v>58</v>
      </c>
      <c r="B62" s="432" t="s">
        <v>182</v>
      </c>
      <c r="C62" s="432"/>
      <c r="D62" s="432"/>
      <c r="E62" s="433" t="s">
        <v>183</v>
      </c>
      <c r="F62" s="432">
        <v>1</v>
      </c>
      <c r="G62" s="432" t="s">
        <v>42</v>
      </c>
      <c r="H62" s="436"/>
      <c r="I62" s="436"/>
      <c r="J62" s="440" t="s">
        <v>84</v>
      </c>
      <c r="K62" s="441"/>
    </row>
    <row r="63" ht="24.95" customHeight="1" spans="1:11">
      <c r="A63" s="427">
        <f>SUBTOTAL(103,$B$5:B63)</f>
        <v>59</v>
      </c>
      <c r="B63" s="432" t="s">
        <v>184</v>
      </c>
      <c r="C63" s="432" t="s">
        <v>185</v>
      </c>
      <c r="D63" s="432"/>
      <c r="E63" s="432" t="s">
        <v>121</v>
      </c>
      <c r="F63" s="432">
        <v>54</v>
      </c>
      <c r="G63" s="432" t="s">
        <v>147</v>
      </c>
      <c r="H63" s="432"/>
      <c r="I63" s="432"/>
      <c r="J63" s="440" t="s">
        <v>186</v>
      </c>
      <c r="K63" s="432"/>
    </row>
    <row r="64" ht="24.95" customHeight="1" spans="1:11">
      <c r="A64" s="427">
        <f>SUBTOTAL(103,$B$5:B64)</f>
        <v>60</v>
      </c>
      <c r="B64" s="432" t="s">
        <v>184</v>
      </c>
      <c r="C64" s="432" t="s">
        <v>185</v>
      </c>
      <c r="D64" s="432"/>
      <c r="E64" s="432" t="s">
        <v>121</v>
      </c>
      <c r="F64" s="432">
        <v>36</v>
      </c>
      <c r="G64" s="432" t="s">
        <v>147</v>
      </c>
      <c r="H64" s="432"/>
      <c r="I64" s="432"/>
      <c r="J64" s="440" t="s">
        <v>187</v>
      </c>
      <c r="K64" s="432"/>
    </row>
    <row r="65" ht="24.95" customHeight="1" spans="1:11">
      <c r="A65" s="427">
        <f>SUBTOTAL(103,$B$5:B65)</f>
        <v>61</v>
      </c>
      <c r="B65" s="432" t="s">
        <v>184</v>
      </c>
      <c r="C65" s="432" t="s">
        <v>185</v>
      </c>
      <c r="D65" s="432"/>
      <c r="E65" s="432" t="s">
        <v>121</v>
      </c>
      <c r="F65" s="432">
        <v>20</v>
      </c>
      <c r="G65" s="432" t="s">
        <v>147</v>
      </c>
      <c r="H65" s="432"/>
      <c r="I65" s="432"/>
      <c r="J65" s="440" t="s">
        <v>188</v>
      </c>
      <c r="K65" s="432"/>
    </row>
    <row r="66" ht="24.95" customHeight="1" spans="1:11">
      <c r="A66" s="427">
        <f>SUBTOTAL(103,$B$5:B66)</f>
        <v>62</v>
      </c>
      <c r="B66" s="432" t="s">
        <v>184</v>
      </c>
      <c r="C66" s="432" t="s">
        <v>185</v>
      </c>
      <c r="D66" s="432"/>
      <c r="E66" s="432" t="s">
        <v>121</v>
      </c>
      <c r="F66" s="432">
        <v>54</v>
      </c>
      <c r="G66" s="432" t="s">
        <v>147</v>
      </c>
      <c r="H66" s="432"/>
      <c r="I66" s="432"/>
      <c r="J66" s="440" t="s">
        <v>189</v>
      </c>
      <c r="K66" s="432"/>
    </row>
    <row r="67" ht="24.95" customHeight="1" spans="1:11">
      <c r="A67" s="427">
        <f>SUBTOTAL(103,$B$5:B67)</f>
        <v>63</v>
      </c>
      <c r="B67" s="432" t="s">
        <v>184</v>
      </c>
      <c r="C67" s="432" t="s">
        <v>185</v>
      </c>
      <c r="D67" s="432"/>
      <c r="E67" s="432" t="s">
        <v>121</v>
      </c>
      <c r="F67" s="432">
        <v>54</v>
      </c>
      <c r="G67" s="432" t="s">
        <v>147</v>
      </c>
      <c r="H67" s="432"/>
      <c r="I67" s="432"/>
      <c r="J67" s="440" t="s">
        <v>190</v>
      </c>
      <c r="K67" s="432"/>
    </row>
    <row r="68" ht="24.95" customHeight="1" spans="1:11">
      <c r="A68" s="427">
        <f>SUBTOTAL(103,$B$5:B68)</f>
        <v>64</v>
      </c>
      <c r="B68" s="432" t="s">
        <v>184</v>
      </c>
      <c r="C68" s="432" t="s">
        <v>185</v>
      </c>
      <c r="D68" s="432"/>
      <c r="E68" s="432" t="s">
        <v>121</v>
      </c>
      <c r="F68" s="432">
        <v>50</v>
      </c>
      <c r="G68" s="432" t="s">
        <v>147</v>
      </c>
      <c r="H68" s="432"/>
      <c r="I68" s="432"/>
      <c r="J68" s="440" t="s">
        <v>191</v>
      </c>
      <c r="K68" s="432"/>
    </row>
    <row r="69" ht="24.95" customHeight="1" spans="1:11">
      <c r="A69" s="427">
        <f>SUBTOTAL(103,$B$5:B69)</f>
        <v>65</v>
      </c>
      <c r="B69" s="432" t="s">
        <v>192</v>
      </c>
      <c r="C69" s="432" t="s">
        <v>193</v>
      </c>
      <c r="D69" s="432"/>
      <c r="E69" s="432" t="s">
        <v>121</v>
      </c>
      <c r="F69" s="442">
        <v>140</v>
      </c>
      <c r="G69" s="432" t="s">
        <v>147</v>
      </c>
      <c r="H69" s="432"/>
      <c r="I69" s="432"/>
      <c r="J69" s="440" t="s">
        <v>84</v>
      </c>
      <c r="K69" s="432"/>
    </row>
    <row r="70" ht="24.95" customHeight="1" spans="1:11">
      <c r="A70" s="427">
        <f>SUBTOTAL(103,$B$5:B70)</f>
        <v>66</v>
      </c>
      <c r="B70" s="432" t="s">
        <v>194</v>
      </c>
      <c r="C70" s="432" t="s">
        <v>195</v>
      </c>
      <c r="D70" s="432"/>
      <c r="E70" s="432" t="s">
        <v>121</v>
      </c>
      <c r="F70" s="442">
        <v>330</v>
      </c>
      <c r="G70" s="432" t="s">
        <v>147</v>
      </c>
      <c r="H70" s="432"/>
      <c r="I70" s="432"/>
      <c r="J70" s="440" t="s">
        <v>84</v>
      </c>
      <c r="K70" s="432"/>
    </row>
    <row r="71" ht="24.95" customHeight="1" spans="1:11">
      <c r="A71" s="427">
        <f>SUBTOTAL(103,$B$5:B71)</f>
        <v>67</v>
      </c>
      <c r="B71" s="432" t="s">
        <v>196</v>
      </c>
      <c r="C71" s="432"/>
      <c r="D71" s="432"/>
      <c r="E71" s="443">
        <v>38353</v>
      </c>
      <c r="F71" s="432">
        <v>30</v>
      </c>
      <c r="G71" s="432" t="s">
        <v>197</v>
      </c>
      <c r="H71" s="432"/>
      <c r="I71" s="432"/>
      <c r="J71" s="440" t="s">
        <v>84</v>
      </c>
      <c r="K71" s="441"/>
    </row>
    <row r="72" ht="24.95" customHeight="1" spans="1:11">
      <c r="A72" s="427">
        <f>SUBTOTAL(103,$B$5:B72)</f>
        <v>68</v>
      </c>
      <c r="B72" s="432" t="s">
        <v>198</v>
      </c>
      <c r="C72" s="432"/>
      <c r="D72" s="432"/>
      <c r="E72" s="443">
        <v>38353</v>
      </c>
      <c r="F72" s="432">
        <v>23</v>
      </c>
      <c r="G72" s="432" t="s">
        <v>197</v>
      </c>
      <c r="H72" s="432"/>
      <c r="I72" s="432"/>
      <c r="J72" s="440" t="s">
        <v>84</v>
      </c>
      <c r="K72" s="441"/>
    </row>
    <row r="73" ht="24.95" customHeight="1" spans="1:11">
      <c r="A73" s="427">
        <f>SUBTOTAL(103,$B$5:B73)</f>
        <v>69</v>
      </c>
      <c r="B73" s="432" t="s">
        <v>199</v>
      </c>
      <c r="C73" s="432"/>
      <c r="D73" s="432"/>
      <c r="E73" s="432" t="s">
        <v>121</v>
      </c>
      <c r="F73" s="432">
        <v>19</v>
      </c>
      <c r="G73" s="432" t="s">
        <v>197</v>
      </c>
      <c r="H73" s="432"/>
      <c r="I73" s="432"/>
      <c r="J73" s="440" t="s">
        <v>84</v>
      </c>
      <c r="K73" s="441"/>
    </row>
    <row r="74" ht="24.95" customHeight="1" spans="1:11">
      <c r="A74" s="427">
        <f>SUBTOTAL(103,$B$5:B74)</f>
        <v>70</v>
      </c>
      <c r="B74" s="432" t="s">
        <v>200</v>
      </c>
      <c r="C74" s="432"/>
      <c r="D74" s="432"/>
      <c r="E74" s="443">
        <v>42370</v>
      </c>
      <c r="F74" s="432">
        <v>1</v>
      </c>
      <c r="G74" s="432" t="s">
        <v>46</v>
      </c>
      <c r="H74" s="432"/>
      <c r="I74" s="432"/>
      <c r="J74" s="440" t="s">
        <v>84</v>
      </c>
      <c r="K74" s="441"/>
    </row>
    <row r="75" ht="24.95" customHeight="1" spans="1:11">
      <c r="A75" s="427"/>
      <c r="B75" s="432"/>
      <c r="C75" s="432"/>
      <c r="D75" s="432"/>
      <c r="E75" s="433"/>
      <c r="F75" s="432"/>
      <c r="G75" s="432"/>
      <c r="H75" s="436"/>
      <c r="I75" s="436"/>
      <c r="J75" s="440"/>
      <c r="K75" s="441"/>
    </row>
    <row r="76" ht="24.95" customHeight="1" spans="1:11">
      <c r="A76" s="427"/>
      <c r="B76" s="432"/>
      <c r="C76" s="432"/>
      <c r="D76" s="432"/>
      <c r="E76" s="433"/>
      <c r="F76" s="432"/>
      <c r="G76" s="432"/>
      <c r="H76" s="436"/>
      <c r="I76" s="436"/>
      <c r="J76" s="440"/>
      <c r="K76" s="441"/>
    </row>
    <row r="77" ht="24.95" customHeight="1" spans="1:11">
      <c r="A77" s="427"/>
      <c r="B77" s="432"/>
      <c r="C77" s="432"/>
      <c r="D77" s="432"/>
      <c r="E77" s="433"/>
      <c r="F77" s="432"/>
      <c r="G77" s="432"/>
      <c r="H77" s="436"/>
      <c r="I77" s="436"/>
      <c r="J77" s="440"/>
      <c r="K77" s="441"/>
    </row>
    <row r="78" ht="24.95" customHeight="1" spans="1:11">
      <c r="A78" s="427"/>
      <c r="B78" s="432"/>
      <c r="C78" s="432"/>
      <c r="D78" s="432"/>
      <c r="E78" s="433"/>
      <c r="F78" s="432"/>
      <c r="G78" s="432"/>
      <c r="H78" s="436"/>
      <c r="I78" s="436"/>
      <c r="J78" s="440"/>
      <c r="K78" s="441"/>
    </row>
    <row r="79" ht="24.95" customHeight="1" spans="1:11">
      <c r="A79" s="427"/>
      <c r="B79" s="432"/>
      <c r="C79" s="432"/>
      <c r="D79" s="432"/>
      <c r="E79" s="433"/>
      <c r="F79" s="432"/>
      <c r="G79" s="432"/>
      <c r="H79" s="436"/>
      <c r="I79" s="436"/>
      <c r="J79" s="440"/>
      <c r="K79" s="441"/>
    </row>
    <row r="80" ht="24.95" customHeight="1" spans="1:11">
      <c r="A80" s="427"/>
      <c r="B80" s="432"/>
      <c r="C80" s="432"/>
      <c r="D80" s="432"/>
      <c r="E80" s="433"/>
      <c r="F80" s="432"/>
      <c r="G80" s="432"/>
      <c r="H80" s="436"/>
      <c r="I80" s="436"/>
      <c r="J80" s="440"/>
      <c r="K80" s="441"/>
    </row>
    <row r="81" ht="24.95" customHeight="1" spans="1:11">
      <c r="A81" s="427"/>
      <c r="B81" s="432"/>
      <c r="C81" s="432"/>
      <c r="D81" s="432"/>
      <c r="E81" s="433"/>
      <c r="F81" s="432"/>
      <c r="G81" s="432"/>
      <c r="H81" s="436"/>
      <c r="I81" s="436"/>
      <c r="J81" s="440"/>
      <c r="K81" s="441"/>
    </row>
    <row r="82" ht="24.95" customHeight="1" spans="1:11">
      <c r="A82" s="427"/>
      <c r="B82" s="432"/>
      <c r="C82" s="432"/>
      <c r="D82" s="432"/>
      <c r="E82" s="433"/>
      <c r="F82" s="432"/>
      <c r="G82" s="432"/>
      <c r="H82" s="436"/>
      <c r="I82" s="436"/>
      <c r="J82" s="440"/>
      <c r="K82" s="441"/>
    </row>
    <row r="83" ht="24.95" customHeight="1" spans="1:11">
      <c r="A83" s="444" t="s">
        <v>70</v>
      </c>
      <c r="B83" s="445"/>
      <c r="C83" s="427"/>
      <c r="D83" s="427"/>
      <c r="E83" s="427"/>
      <c r="F83" s="427"/>
      <c r="G83" s="427"/>
      <c r="H83" s="427"/>
      <c r="I83" s="441"/>
      <c r="J83" s="438"/>
      <c r="K83" s="441"/>
    </row>
    <row r="84" ht="23.25" customHeight="1" spans="1:1">
      <c r="A84" s="399" t="s">
        <v>201</v>
      </c>
    </row>
    <row r="85" ht="21.75" customHeight="1" spans="1:1">
      <c r="A85" s="399" t="s">
        <v>202</v>
      </c>
    </row>
  </sheetData>
  <mergeCells count="14">
    <mergeCell ref="A1:K1"/>
    <mergeCell ref="D2:J2"/>
    <mergeCell ref="A83:B83"/>
    <mergeCell ref="A3:A4"/>
    <mergeCell ref="B3:B4"/>
    <mergeCell ref="C3:C4"/>
    <mergeCell ref="D3:D4"/>
    <mergeCell ref="E3:E4"/>
    <mergeCell ref="F3:F4"/>
    <mergeCell ref="G3:G4"/>
    <mergeCell ref="H3:H4"/>
    <mergeCell ref="I3:I4"/>
    <mergeCell ref="J3:J4"/>
    <mergeCell ref="K3:K4"/>
  </mergeCells>
  <printOptions horizontalCentered="1"/>
  <pageMargins left="0.354166666666667" right="0.354166666666667" top="0.786805555555556" bottom="0.590277777777778" header="0.511805555555556" footer="0.511805555555556"/>
  <pageSetup paperSize="9" orientation="landscape" horizontalDpi="6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M45"/>
  <sheetViews>
    <sheetView topLeftCell="A16" workbookViewId="0">
      <selection activeCell="A33" sqref="A33"/>
    </sheetView>
  </sheetViews>
  <sheetFormatPr defaultColWidth="9" defaultRowHeight="14.25"/>
  <cols>
    <col min="1" max="1" width="5.125" style="398" customWidth="1"/>
    <col min="2" max="2" width="21.625" style="400" customWidth="1"/>
    <col min="3" max="3" width="17.125" style="400" customWidth="1"/>
    <col min="4" max="4" width="8" style="400" customWidth="1"/>
    <col min="5" max="6" width="11" style="400" customWidth="1"/>
    <col min="7" max="7" width="9.375" style="400" customWidth="1"/>
    <col min="8" max="8" width="10" style="400" customWidth="1"/>
    <col min="9" max="9" width="6.5" style="400" customWidth="1"/>
    <col min="10" max="10" width="8.875" style="400" customWidth="1"/>
    <col min="11" max="11" width="11.625" style="400" customWidth="1"/>
    <col min="12" max="12" width="9" style="400" customWidth="1"/>
    <col min="13" max="13" width="11.875" style="400" customWidth="1"/>
    <col min="14" max="257" width="8.875" style="400"/>
    <col min="258" max="258" width="5.125" style="400" customWidth="1"/>
    <col min="259" max="259" width="24.625" style="400" customWidth="1"/>
    <col min="260" max="260" width="20.5" style="400" customWidth="1"/>
    <col min="261" max="261" width="8" style="400" customWidth="1"/>
    <col min="262" max="263" width="11" style="400" customWidth="1"/>
    <col min="264" max="264" width="9.5" style="400" customWidth="1"/>
    <col min="265" max="265" width="9.375" style="400" customWidth="1"/>
    <col min="266" max="266" width="8.375" style="400" customWidth="1"/>
    <col min="267" max="267" width="9.875" style="400" customWidth="1"/>
    <col min="268" max="268" width="10.125" style="400" customWidth="1"/>
    <col min="269" max="269" width="13.875" style="400" customWidth="1"/>
    <col min="270" max="513" width="8.875" style="400"/>
    <col min="514" max="514" width="5.125" style="400" customWidth="1"/>
    <col min="515" max="515" width="24.625" style="400" customWidth="1"/>
    <col min="516" max="516" width="20.5" style="400" customWidth="1"/>
    <col min="517" max="517" width="8" style="400" customWidth="1"/>
    <col min="518" max="519" width="11" style="400" customWidth="1"/>
    <col min="520" max="520" width="9.5" style="400" customWidth="1"/>
    <col min="521" max="521" width="9.375" style="400" customWidth="1"/>
    <col min="522" max="522" width="8.375" style="400" customWidth="1"/>
    <col min="523" max="523" width="9.875" style="400" customWidth="1"/>
    <col min="524" max="524" width="10.125" style="400" customWidth="1"/>
    <col min="525" max="525" width="13.875" style="400" customWidth="1"/>
    <col min="526" max="769" width="8.875" style="400"/>
    <col min="770" max="770" width="5.125" style="400" customWidth="1"/>
    <col min="771" max="771" width="24.625" style="400" customWidth="1"/>
    <col min="772" max="772" width="20.5" style="400" customWidth="1"/>
    <col min="773" max="773" width="8" style="400" customWidth="1"/>
    <col min="774" max="775" width="11" style="400" customWidth="1"/>
    <col min="776" max="776" width="9.5" style="400" customWidth="1"/>
    <col min="777" max="777" width="9.375" style="400" customWidth="1"/>
    <col min="778" max="778" width="8.375" style="400" customWidth="1"/>
    <col min="779" max="779" width="9.875" style="400" customWidth="1"/>
    <col min="780" max="780" width="10.125" style="400" customWidth="1"/>
    <col min="781" max="781" width="13.875" style="400" customWidth="1"/>
    <col min="782" max="1025" width="8.875" style="400"/>
    <col min="1026" max="1026" width="5.125" style="400" customWidth="1"/>
    <col min="1027" max="1027" width="24.625" style="400" customWidth="1"/>
    <col min="1028" max="1028" width="20.5" style="400" customWidth="1"/>
    <col min="1029" max="1029" width="8" style="400" customWidth="1"/>
    <col min="1030" max="1031" width="11" style="400" customWidth="1"/>
    <col min="1032" max="1032" width="9.5" style="400" customWidth="1"/>
    <col min="1033" max="1033" width="9.375" style="400" customWidth="1"/>
    <col min="1034" max="1034" width="8.375" style="400" customWidth="1"/>
    <col min="1035" max="1035" width="9.875" style="400" customWidth="1"/>
    <col min="1036" max="1036" width="10.125" style="400" customWidth="1"/>
    <col min="1037" max="1037" width="13.875" style="400" customWidth="1"/>
    <col min="1038" max="1281" width="8.875" style="400"/>
    <col min="1282" max="1282" width="5.125" style="400" customWidth="1"/>
    <col min="1283" max="1283" width="24.625" style="400" customWidth="1"/>
    <col min="1284" max="1284" width="20.5" style="400" customWidth="1"/>
    <col min="1285" max="1285" width="8" style="400" customWidth="1"/>
    <col min="1286" max="1287" width="11" style="400" customWidth="1"/>
    <col min="1288" max="1288" width="9.5" style="400" customWidth="1"/>
    <col min="1289" max="1289" width="9.375" style="400" customWidth="1"/>
    <col min="1290" max="1290" width="8.375" style="400" customWidth="1"/>
    <col min="1291" max="1291" width="9.875" style="400" customWidth="1"/>
    <col min="1292" max="1292" width="10.125" style="400" customWidth="1"/>
    <col min="1293" max="1293" width="13.875" style="400" customWidth="1"/>
    <col min="1294" max="1537" width="8.875" style="400"/>
    <col min="1538" max="1538" width="5.125" style="400" customWidth="1"/>
    <col min="1539" max="1539" width="24.625" style="400" customWidth="1"/>
    <col min="1540" max="1540" width="20.5" style="400" customWidth="1"/>
    <col min="1541" max="1541" width="8" style="400" customWidth="1"/>
    <col min="1542" max="1543" width="11" style="400" customWidth="1"/>
    <col min="1544" max="1544" width="9.5" style="400" customWidth="1"/>
    <col min="1545" max="1545" width="9.375" style="400" customWidth="1"/>
    <col min="1546" max="1546" width="8.375" style="400" customWidth="1"/>
    <col min="1547" max="1547" width="9.875" style="400" customWidth="1"/>
    <col min="1548" max="1548" width="10.125" style="400" customWidth="1"/>
    <col min="1549" max="1549" width="13.875" style="400" customWidth="1"/>
    <col min="1550" max="1793" width="8.875" style="400"/>
    <col min="1794" max="1794" width="5.125" style="400" customWidth="1"/>
    <col min="1795" max="1795" width="24.625" style="400" customWidth="1"/>
    <col min="1796" max="1796" width="20.5" style="400" customWidth="1"/>
    <col min="1797" max="1797" width="8" style="400" customWidth="1"/>
    <col min="1798" max="1799" width="11" style="400" customWidth="1"/>
    <col min="1800" max="1800" width="9.5" style="400" customWidth="1"/>
    <col min="1801" max="1801" width="9.375" style="400" customWidth="1"/>
    <col min="1802" max="1802" width="8.375" style="400" customWidth="1"/>
    <col min="1803" max="1803" width="9.875" style="400" customWidth="1"/>
    <col min="1804" max="1804" width="10.125" style="400" customWidth="1"/>
    <col min="1805" max="1805" width="13.875" style="400" customWidth="1"/>
    <col min="1806" max="2049" width="8.875" style="400"/>
    <col min="2050" max="2050" width="5.125" style="400" customWidth="1"/>
    <col min="2051" max="2051" width="24.625" style="400" customWidth="1"/>
    <col min="2052" max="2052" width="20.5" style="400" customWidth="1"/>
    <col min="2053" max="2053" width="8" style="400" customWidth="1"/>
    <col min="2054" max="2055" width="11" style="400" customWidth="1"/>
    <col min="2056" max="2056" width="9.5" style="400" customWidth="1"/>
    <col min="2057" max="2057" width="9.375" style="400" customWidth="1"/>
    <col min="2058" max="2058" width="8.375" style="400" customWidth="1"/>
    <col min="2059" max="2059" width="9.875" style="400" customWidth="1"/>
    <col min="2060" max="2060" width="10.125" style="400" customWidth="1"/>
    <col min="2061" max="2061" width="13.875" style="400" customWidth="1"/>
    <col min="2062" max="2305" width="8.875" style="400"/>
    <col min="2306" max="2306" width="5.125" style="400" customWidth="1"/>
    <col min="2307" max="2307" width="24.625" style="400" customWidth="1"/>
    <col min="2308" max="2308" width="20.5" style="400" customWidth="1"/>
    <col min="2309" max="2309" width="8" style="400" customWidth="1"/>
    <col min="2310" max="2311" width="11" style="400" customWidth="1"/>
    <col min="2312" max="2312" width="9.5" style="400" customWidth="1"/>
    <col min="2313" max="2313" width="9.375" style="400" customWidth="1"/>
    <col min="2314" max="2314" width="8.375" style="400" customWidth="1"/>
    <col min="2315" max="2315" width="9.875" style="400" customWidth="1"/>
    <col min="2316" max="2316" width="10.125" style="400" customWidth="1"/>
    <col min="2317" max="2317" width="13.875" style="400" customWidth="1"/>
    <col min="2318" max="2561" width="8.875" style="400"/>
    <col min="2562" max="2562" width="5.125" style="400" customWidth="1"/>
    <col min="2563" max="2563" width="24.625" style="400" customWidth="1"/>
    <col min="2564" max="2564" width="20.5" style="400" customWidth="1"/>
    <col min="2565" max="2565" width="8" style="400" customWidth="1"/>
    <col min="2566" max="2567" width="11" style="400" customWidth="1"/>
    <col min="2568" max="2568" width="9.5" style="400" customWidth="1"/>
    <col min="2569" max="2569" width="9.375" style="400" customWidth="1"/>
    <col min="2570" max="2570" width="8.375" style="400" customWidth="1"/>
    <col min="2571" max="2571" width="9.875" style="400" customWidth="1"/>
    <col min="2572" max="2572" width="10.125" style="400" customWidth="1"/>
    <col min="2573" max="2573" width="13.875" style="400" customWidth="1"/>
    <col min="2574" max="2817" width="8.875" style="400"/>
    <col min="2818" max="2818" width="5.125" style="400" customWidth="1"/>
    <col min="2819" max="2819" width="24.625" style="400" customWidth="1"/>
    <col min="2820" max="2820" width="20.5" style="400" customWidth="1"/>
    <col min="2821" max="2821" width="8" style="400" customWidth="1"/>
    <col min="2822" max="2823" width="11" style="400" customWidth="1"/>
    <col min="2824" max="2824" width="9.5" style="400" customWidth="1"/>
    <col min="2825" max="2825" width="9.375" style="400" customWidth="1"/>
    <col min="2826" max="2826" width="8.375" style="400" customWidth="1"/>
    <col min="2827" max="2827" width="9.875" style="400" customWidth="1"/>
    <col min="2828" max="2828" width="10.125" style="400" customWidth="1"/>
    <col min="2829" max="2829" width="13.875" style="400" customWidth="1"/>
    <col min="2830" max="3073" width="8.875" style="400"/>
    <col min="3074" max="3074" width="5.125" style="400" customWidth="1"/>
    <col min="3075" max="3075" width="24.625" style="400" customWidth="1"/>
    <col min="3076" max="3076" width="20.5" style="400" customWidth="1"/>
    <col min="3077" max="3077" width="8" style="400" customWidth="1"/>
    <col min="3078" max="3079" width="11" style="400" customWidth="1"/>
    <col min="3080" max="3080" width="9.5" style="400" customWidth="1"/>
    <col min="3081" max="3081" width="9.375" style="400" customWidth="1"/>
    <col min="3082" max="3082" width="8.375" style="400" customWidth="1"/>
    <col min="3083" max="3083" width="9.875" style="400" customWidth="1"/>
    <col min="3084" max="3084" width="10.125" style="400" customWidth="1"/>
    <col min="3085" max="3085" width="13.875" style="400" customWidth="1"/>
    <col min="3086" max="3329" width="8.875" style="400"/>
    <col min="3330" max="3330" width="5.125" style="400" customWidth="1"/>
    <col min="3331" max="3331" width="24.625" style="400" customWidth="1"/>
    <col min="3332" max="3332" width="20.5" style="400" customWidth="1"/>
    <col min="3333" max="3333" width="8" style="400" customWidth="1"/>
    <col min="3334" max="3335" width="11" style="400" customWidth="1"/>
    <col min="3336" max="3336" width="9.5" style="400" customWidth="1"/>
    <col min="3337" max="3337" width="9.375" style="400" customWidth="1"/>
    <col min="3338" max="3338" width="8.375" style="400" customWidth="1"/>
    <col min="3339" max="3339" width="9.875" style="400" customWidth="1"/>
    <col min="3340" max="3340" width="10.125" style="400" customWidth="1"/>
    <col min="3341" max="3341" width="13.875" style="400" customWidth="1"/>
    <col min="3342" max="3585" width="8.875" style="400"/>
    <col min="3586" max="3586" width="5.125" style="400" customWidth="1"/>
    <col min="3587" max="3587" width="24.625" style="400" customWidth="1"/>
    <col min="3588" max="3588" width="20.5" style="400" customWidth="1"/>
    <col min="3589" max="3589" width="8" style="400" customWidth="1"/>
    <col min="3590" max="3591" width="11" style="400" customWidth="1"/>
    <col min="3592" max="3592" width="9.5" style="400" customWidth="1"/>
    <col min="3593" max="3593" width="9.375" style="400" customWidth="1"/>
    <col min="3594" max="3594" width="8.375" style="400" customWidth="1"/>
    <col min="3595" max="3595" width="9.875" style="400" customWidth="1"/>
    <col min="3596" max="3596" width="10.125" style="400" customWidth="1"/>
    <col min="3597" max="3597" width="13.875" style="400" customWidth="1"/>
    <col min="3598" max="3841" width="8.875" style="400"/>
    <col min="3842" max="3842" width="5.125" style="400" customWidth="1"/>
    <col min="3843" max="3843" width="24.625" style="400" customWidth="1"/>
    <col min="3844" max="3844" width="20.5" style="400" customWidth="1"/>
    <col min="3845" max="3845" width="8" style="400" customWidth="1"/>
    <col min="3846" max="3847" width="11" style="400" customWidth="1"/>
    <col min="3848" max="3848" width="9.5" style="400" customWidth="1"/>
    <col min="3849" max="3849" width="9.375" style="400" customWidth="1"/>
    <col min="3850" max="3850" width="8.375" style="400" customWidth="1"/>
    <col min="3851" max="3851" width="9.875" style="400" customWidth="1"/>
    <col min="3852" max="3852" width="10.125" style="400" customWidth="1"/>
    <col min="3853" max="3853" width="13.875" style="400" customWidth="1"/>
    <col min="3854" max="4097" width="8.875" style="400"/>
    <col min="4098" max="4098" width="5.125" style="400" customWidth="1"/>
    <col min="4099" max="4099" width="24.625" style="400" customWidth="1"/>
    <col min="4100" max="4100" width="20.5" style="400" customWidth="1"/>
    <col min="4101" max="4101" width="8" style="400" customWidth="1"/>
    <col min="4102" max="4103" width="11" style="400" customWidth="1"/>
    <col min="4104" max="4104" width="9.5" style="400" customWidth="1"/>
    <col min="4105" max="4105" width="9.375" style="400" customWidth="1"/>
    <col min="4106" max="4106" width="8.375" style="400" customWidth="1"/>
    <col min="4107" max="4107" width="9.875" style="400" customWidth="1"/>
    <col min="4108" max="4108" width="10.125" style="400" customWidth="1"/>
    <col min="4109" max="4109" width="13.875" style="400" customWidth="1"/>
    <col min="4110" max="4353" width="8.875" style="400"/>
    <col min="4354" max="4354" width="5.125" style="400" customWidth="1"/>
    <col min="4355" max="4355" width="24.625" style="400" customWidth="1"/>
    <col min="4356" max="4356" width="20.5" style="400" customWidth="1"/>
    <col min="4357" max="4357" width="8" style="400" customWidth="1"/>
    <col min="4358" max="4359" width="11" style="400" customWidth="1"/>
    <col min="4360" max="4360" width="9.5" style="400" customWidth="1"/>
    <col min="4361" max="4361" width="9.375" style="400" customWidth="1"/>
    <col min="4362" max="4362" width="8.375" style="400" customWidth="1"/>
    <col min="4363" max="4363" width="9.875" style="400" customWidth="1"/>
    <col min="4364" max="4364" width="10.125" style="400" customWidth="1"/>
    <col min="4365" max="4365" width="13.875" style="400" customWidth="1"/>
    <col min="4366" max="4609" width="8.875" style="400"/>
    <col min="4610" max="4610" width="5.125" style="400" customWidth="1"/>
    <col min="4611" max="4611" width="24.625" style="400" customWidth="1"/>
    <col min="4612" max="4612" width="20.5" style="400" customWidth="1"/>
    <col min="4613" max="4613" width="8" style="400" customWidth="1"/>
    <col min="4614" max="4615" width="11" style="400" customWidth="1"/>
    <col min="4616" max="4616" width="9.5" style="400" customWidth="1"/>
    <col min="4617" max="4617" width="9.375" style="400" customWidth="1"/>
    <col min="4618" max="4618" width="8.375" style="400" customWidth="1"/>
    <col min="4619" max="4619" width="9.875" style="400" customWidth="1"/>
    <col min="4620" max="4620" width="10.125" style="400" customWidth="1"/>
    <col min="4621" max="4621" width="13.875" style="400" customWidth="1"/>
    <col min="4622" max="4865" width="8.875" style="400"/>
    <col min="4866" max="4866" width="5.125" style="400" customWidth="1"/>
    <col min="4867" max="4867" width="24.625" style="400" customWidth="1"/>
    <col min="4868" max="4868" width="20.5" style="400" customWidth="1"/>
    <col min="4869" max="4869" width="8" style="400" customWidth="1"/>
    <col min="4870" max="4871" width="11" style="400" customWidth="1"/>
    <col min="4872" max="4872" width="9.5" style="400" customWidth="1"/>
    <col min="4873" max="4873" width="9.375" style="400" customWidth="1"/>
    <col min="4874" max="4874" width="8.375" style="400" customWidth="1"/>
    <col min="4875" max="4875" width="9.875" style="400" customWidth="1"/>
    <col min="4876" max="4876" width="10.125" style="400" customWidth="1"/>
    <col min="4877" max="4877" width="13.875" style="400" customWidth="1"/>
    <col min="4878" max="5121" width="8.875" style="400"/>
    <col min="5122" max="5122" width="5.125" style="400" customWidth="1"/>
    <col min="5123" max="5123" width="24.625" style="400" customWidth="1"/>
    <col min="5124" max="5124" width="20.5" style="400" customWidth="1"/>
    <col min="5125" max="5125" width="8" style="400" customWidth="1"/>
    <col min="5126" max="5127" width="11" style="400" customWidth="1"/>
    <col min="5128" max="5128" width="9.5" style="400" customWidth="1"/>
    <col min="5129" max="5129" width="9.375" style="400" customWidth="1"/>
    <col min="5130" max="5130" width="8.375" style="400" customWidth="1"/>
    <col min="5131" max="5131" width="9.875" style="400" customWidth="1"/>
    <col min="5132" max="5132" width="10.125" style="400" customWidth="1"/>
    <col min="5133" max="5133" width="13.875" style="400" customWidth="1"/>
    <col min="5134" max="5377" width="8.875" style="400"/>
    <col min="5378" max="5378" width="5.125" style="400" customWidth="1"/>
    <col min="5379" max="5379" width="24.625" style="400" customWidth="1"/>
    <col min="5380" max="5380" width="20.5" style="400" customWidth="1"/>
    <col min="5381" max="5381" width="8" style="400" customWidth="1"/>
    <col min="5382" max="5383" width="11" style="400" customWidth="1"/>
    <col min="5384" max="5384" width="9.5" style="400" customWidth="1"/>
    <col min="5385" max="5385" width="9.375" style="400" customWidth="1"/>
    <col min="5386" max="5386" width="8.375" style="400" customWidth="1"/>
    <col min="5387" max="5387" width="9.875" style="400" customWidth="1"/>
    <col min="5388" max="5388" width="10.125" style="400" customWidth="1"/>
    <col min="5389" max="5389" width="13.875" style="400" customWidth="1"/>
    <col min="5390" max="5633" width="8.875" style="400"/>
    <col min="5634" max="5634" width="5.125" style="400" customWidth="1"/>
    <col min="5635" max="5635" width="24.625" style="400" customWidth="1"/>
    <col min="5636" max="5636" width="20.5" style="400" customWidth="1"/>
    <col min="5637" max="5637" width="8" style="400" customWidth="1"/>
    <col min="5638" max="5639" width="11" style="400" customWidth="1"/>
    <col min="5640" max="5640" width="9.5" style="400" customWidth="1"/>
    <col min="5641" max="5641" width="9.375" style="400" customWidth="1"/>
    <col min="5642" max="5642" width="8.375" style="400" customWidth="1"/>
    <col min="5643" max="5643" width="9.875" style="400" customWidth="1"/>
    <col min="5644" max="5644" width="10.125" style="400" customWidth="1"/>
    <col min="5645" max="5645" width="13.875" style="400" customWidth="1"/>
    <col min="5646" max="5889" width="8.875" style="400"/>
    <col min="5890" max="5890" width="5.125" style="400" customWidth="1"/>
    <col min="5891" max="5891" width="24.625" style="400" customWidth="1"/>
    <col min="5892" max="5892" width="20.5" style="400" customWidth="1"/>
    <col min="5893" max="5893" width="8" style="400" customWidth="1"/>
    <col min="5894" max="5895" width="11" style="400" customWidth="1"/>
    <col min="5896" max="5896" width="9.5" style="400" customWidth="1"/>
    <col min="5897" max="5897" width="9.375" style="400" customWidth="1"/>
    <col min="5898" max="5898" width="8.375" style="400" customWidth="1"/>
    <col min="5899" max="5899" width="9.875" style="400" customWidth="1"/>
    <col min="5900" max="5900" width="10.125" style="400" customWidth="1"/>
    <col min="5901" max="5901" width="13.875" style="400" customWidth="1"/>
    <col min="5902" max="6145" width="8.875" style="400"/>
    <col min="6146" max="6146" width="5.125" style="400" customWidth="1"/>
    <col min="6147" max="6147" width="24.625" style="400" customWidth="1"/>
    <col min="6148" max="6148" width="20.5" style="400" customWidth="1"/>
    <col min="6149" max="6149" width="8" style="400" customWidth="1"/>
    <col min="6150" max="6151" width="11" style="400" customWidth="1"/>
    <col min="6152" max="6152" width="9.5" style="400" customWidth="1"/>
    <col min="6153" max="6153" width="9.375" style="400" customWidth="1"/>
    <col min="6154" max="6154" width="8.375" style="400" customWidth="1"/>
    <col min="6155" max="6155" width="9.875" style="400" customWidth="1"/>
    <col min="6156" max="6156" width="10.125" style="400" customWidth="1"/>
    <col min="6157" max="6157" width="13.875" style="400" customWidth="1"/>
    <col min="6158" max="6401" width="8.875" style="400"/>
    <col min="6402" max="6402" width="5.125" style="400" customWidth="1"/>
    <col min="6403" max="6403" width="24.625" style="400" customWidth="1"/>
    <col min="6404" max="6404" width="20.5" style="400" customWidth="1"/>
    <col min="6405" max="6405" width="8" style="400" customWidth="1"/>
    <col min="6406" max="6407" width="11" style="400" customWidth="1"/>
    <col min="6408" max="6408" width="9.5" style="400" customWidth="1"/>
    <col min="6409" max="6409" width="9.375" style="400" customWidth="1"/>
    <col min="6410" max="6410" width="8.375" style="400" customWidth="1"/>
    <col min="6411" max="6411" width="9.875" style="400" customWidth="1"/>
    <col min="6412" max="6412" width="10.125" style="400" customWidth="1"/>
    <col min="6413" max="6413" width="13.875" style="400" customWidth="1"/>
    <col min="6414" max="6657" width="8.875" style="400"/>
    <col min="6658" max="6658" width="5.125" style="400" customWidth="1"/>
    <col min="6659" max="6659" width="24.625" style="400" customWidth="1"/>
    <col min="6660" max="6660" width="20.5" style="400" customWidth="1"/>
    <col min="6661" max="6661" width="8" style="400" customWidth="1"/>
    <col min="6662" max="6663" width="11" style="400" customWidth="1"/>
    <col min="6664" max="6664" width="9.5" style="400" customWidth="1"/>
    <col min="6665" max="6665" width="9.375" style="400" customWidth="1"/>
    <col min="6666" max="6666" width="8.375" style="400" customWidth="1"/>
    <col min="6667" max="6667" width="9.875" style="400" customWidth="1"/>
    <col min="6668" max="6668" width="10.125" style="400" customWidth="1"/>
    <col min="6669" max="6669" width="13.875" style="400" customWidth="1"/>
    <col min="6670" max="6913" width="8.875" style="400"/>
    <col min="6914" max="6914" width="5.125" style="400" customWidth="1"/>
    <col min="6915" max="6915" width="24.625" style="400" customWidth="1"/>
    <col min="6916" max="6916" width="20.5" style="400" customWidth="1"/>
    <col min="6917" max="6917" width="8" style="400" customWidth="1"/>
    <col min="6918" max="6919" width="11" style="400" customWidth="1"/>
    <col min="6920" max="6920" width="9.5" style="400" customWidth="1"/>
    <col min="6921" max="6921" width="9.375" style="400" customWidth="1"/>
    <col min="6922" max="6922" width="8.375" style="400" customWidth="1"/>
    <col min="6923" max="6923" width="9.875" style="400" customWidth="1"/>
    <col min="6924" max="6924" width="10.125" style="400" customWidth="1"/>
    <col min="6925" max="6925" width="13.875" style="400" customWidth="1"/>
    <col min="6926" max="7169" width="8.875" style="400"/>
    <col min="7170" max="7170" width="5.125" style="400" customWidth="1"/>
    <col min="7171" max="7171" width="24.625" style="400" customWidth="1"/>
    <col min="7172" max="7172" width="20.5" style="400" customWidth="1"/>
    <col min="7173" max="7173" width="8" style="400" customWidth="1"/>
    <col min="7174" max="7175" width="11" style="400" customWidth="1"/>
    <col min="7176" max="7176" width="9.5" style="400" customWidth="1"/>
    <col min="7177" max="7177" width="9.375" style="400" customWidth="1"/>
    <col min="7178" max="7178" width="8.375" style="400" customWidth="1"/>
    <col min="7179" max="7179" width="9.875" style="400" customWidth="1"/>
    <col min="7180" max="7180" width="10.125" style="400" customWidth="1"/>
    <col min="7181" max="7181" width="13.875" style="400" customWidth="1"/>
    <col min="7182" max="7425" width="8.875" style="400"/>
    <col min="7426" max="7426" width="5.125" style="400" customWidth="1"/>
    <col min="7427" max="7427" width="24.625" style="400" customWidth="1"/>
    <col min="7428" max="7428" width="20.5" style="400" customWidth="1"/>
    <col min="7429" max="7429" width="8" style="400" customWidth="1"/>
    <col min="7430" max="7431" width="11" style="400" customWidth="1"/>
    <col min="7432" max="7432" width="9.5" style="400" customWidth="1"/>
    <col min="7433" max="7433" width="9.375" style="400" customWidth="1"/>
    <col min="7434" max="7434" width="8.375" style="400" customWidth="1"/>
    <col min="7435" max="7435" width="9.875" style="400" customWidth="1"/>
    <col min="7436" max="7436" width="10.125" style="400" customWidth="1"/>
    <col min="7437" max="7437" width="13.875" style="400" customWidth="1"/>
    <col min="7438" max="7681" width="8.875" style="400"/>
    <col min="7682" max="7682" width="5.125" style="400" customWidth="1"/>
    <col min="7683" max="7683" width="24.625" style="400" customWidth="1"/>
    <col min="7684" max="7684" width="20.5" style="400" customWidth="1"/>
    <col min="7685" max="7685" width="8" style="400" customWidth="1"/>
    <col min="7686" max="7687" width="11" style="400" customWidth="1"/>
    <col min="7688" max="7688" width="9.5" style="400" customWidth="1"/>
    <col min="7689" max="7689" width="9.375" style="400" customWidth="1"/>
    <col min="7690" max="7690" width="8.375" style="400" customWidth="1"/>
    <col min="7691" max="7691" width="9.875" style="400" customWidth="1"/>
    <col min="7692" max="7692" width="10.125" style="400" customWidth="1"/>
    <col min="7693" max="7693" width="13.875" style="400" customWidth="1"/>
    <col min="7694" max="7937" width="8.875" style="400"/>
    <col min="7938" max="7938" width="5.125" style="400" customWidth="1"/>
    <col min="7939" max="7939" width="24.625" style="400" customWidth="1"/>
    <col min="7940" max="7940" width="20.5" style="400" customWidth="1"/>
    <col min="7941" max="7941" width="8" style="400" customWidth="1"/>
    <col min="7942" max="7943" width="11" style="400" customWidth="1"/>
    <col min="7944" max="7944" width="9.5" style="400" customWidth="1"/>
    <col min="7945" max="7945" width="9.375" style="400" customWidth="1"/>
    <col min="7946" max="7946" width="8.375" style="400" customWidth="1"/>
    <col min="7947" max="7947" width="9.875" style="400" customWidth="1"/>
    <col min="7948" max="7948" width="10.125" style="400" customWidth="1"/>
    <col min="7949" max="7949" width="13.875" style="400" customWidth="1"/>
    <col min="7950" max="8193" width="8.875" style="400"/>
    <col min="8194" max="8194" width="5.125" style="400" customWidth="1"/>
    <col min="8195" max="8195" width="24.625" style="400" customWidth="1"/>
    <col min="8196" max="8196" width="20.5" style="400" customWidth="1"/>
    <col min="8197" max="8197" width="8" style="400" customWidth="1"/>
    <col min="8198" max="8199" width="11" style="400" customWidth="1"/>
    <col min="8200" max="8200" width="9.5" style="400" customWidth="1"/>
    <col min="8201" max="8201" width="9.375" style="400" customWidth="1"/>
    <col min="8202" max="8202" width="8.375" style="400" customWidth="1"/>
    <col min="8203" max="8203" width="9.875" style="400" customWidth="1"/>
    <col min="8204" max="8204" width="10.125" style="400" customWidth="1"/>
    <col min="8205" max="8205" width="13.875" style="400" customWidth="1"/>
    <col min="8206" max="8449" width="8.875" style="400"/>
    <col min="8450" max="8450" width="5.125" style="400" customWidth="1"/>
    <col min="8451" max="8451" width="24.625" style="400" customWidth="1"/>
    <col min="8452" max="8452" width="20.5" style="400" customWidth="1"/>
    <col min="8453" max="8453" width="8" style="400" customWidth="1"/>
    <col min="8454" max="8455" width="11" style="400" customWidth="1"/>
    <col min="8456" max="8456" width="9.5" style="400" customWidth="1"/>
    <col min="8457" max="8457" width="9.375" style="400" customWidth="1"/>
    <col min="8458" max="8458" width="8.375" style="400" customWidth="1"/>
    <col min="8459" max="8459" width="9.875" style="400" customWidth="1"/>
    <col min="8460" max="8460" width="10.125" style="400" customWidth="1"/>
    <col min="8461" max="8461" width="13.875" style="400" customWidth="1"/>
    <col min="8462" max="8705" width="8.875" style="400"/>
    <col min="8706" max="8706" width="5.125" style="400" customWidth="1"/>
    <col min="8707" max="8707" width="24.625" style="400" customWidth="1"/>
    <col min="8708" max="8708" width="20.5" style="400" customWidth="1"/>
    <col min="8709" max="8709" width="8" style="400" customWidth="1"/>
    <col min="8710" max="8711" width="11" style="400" customWidth="1"/>
    <col min="8712" max="8712" width="9.5" style="400" customWidth="1"/>
    <col min="8713" max="8713" width="9.375" style="400" customWidth="1"/>
    <col min="8714" max="8714" width="8.375" style="400" customWidth="1"/>
    <col min="8715" max="8715" width="9.875" style="400" customWidth="1"/>
    <col min="8716" max="8716" width="10.125" style="400" customWidth="1"/>
    <col min="8717" max="8717" width="13.875" style="400" customWidth="1"/>
    <col min="8718" max="8961" width="8.875" style="400"/>
    <col min="8962" max="8962" width="5.125" style="400" customWidth="1"/>
    <col min="8963" max="8963" width="24.625" style="400" customWidth="1"/>
    <col min="8964" max="8964" width="20.5" style="400" customWidth="1"/>
    <col min="8965" max="8965" width="8" style="400" customWidth="1"/>
    <col min="8966" max="8967" width="11" style="400" customWidth="1"/>
    <col min="8968" max="8968" width="9.5" style="400" customWidth="1"/>
    <col min="8969" max="8969" width="9.375" style="400" customWidth="1"/>
    <col min="8970" max="8970" width="8.375" style="400" customWidth="1"/>
    <col min="8971" max="8971" width="9.875" style="400" customWidth="1"/>
    <col min="8972" max="8972" width="10.125" style="400" customWidth="1"/>
    <col min="8973" max="8973" width="13.875" style="400" customWidth="1"/>
    <col min="8974" max="9217" width="8.875" style="400"/>
    <col min="9218" max="9218" width="5.125" style="400" customWidth="1"/>
    <col min="9219" max="9219" width="24.625" style="400" customWidth="1"/>
    <col min="9220" max="9220" width="20.5" style="400" customWidth="1"/>
    <col min="9221" max="9221" width="8" style="400" customWidth="1"/>
    <col min="9222" max="9223" width="11" style="400" customWidth="1"/>
    <col min="9224" max="9224" width="9.5" style="400" customWidth="1"/>
    <col min="9225" max="9225" width="9.375" style="400" customWidth="1"/>
    <col min="9226" max="9226" width="8.375" style="400" customWidth="1"/>
    <col min="9227" max="9227" width="9.875" style="400" customWidth="1"/>
    <col min="9228" max="9228" width="10.125" style="400" customWidth="1"/>
    <col min="9229" max="9229" width="13.875" style="400" customWidth="1"/>
    <col min="9230" max="9473" width="8.875" style="400"/>
    <col min="9474" max="9474" width="5.125" style="400" customWidth="1"/>
    <col min="9475" max="9475" width="24.625" style="400" customWidth="1"/>
    <col min="9476" max="9476" width="20.5" style="400" customWidth="1"/>
    <col min="9477" max="9477" width="8" style="400" customWidth="1"/>
    <col min="9478" max="9479" width="11" style="400" customWidth="1"/>
    <col min="9480" max="9480" width="9.5" style="400" customWidth="1"/>
    <col min="9481" max="9481" width="9.375" style="400" customWidth="1"/>
    <col min="9482" max="9482" width="8.375" style="400" customWidth="1"/>
    <col min="9483" max="9483" width="9.875" style="400" customWidth="1"/>
    <col min="9484" max="9484" width="10.125" style="400" customWidth="1"/>
    <col min="9485" max="9485" width="13.875" style="400" customWidth="1"/>
    <col min="9486" max="9729" width="8.875" style="400"/>
    <col min="9730" max="9730" width="5.125" style="400" customWidth="1"/>
    <col min="9731" max="9731" width="24.625" style="400" customWidth="1"/>
    <col min="9732" max="9732" width="20.5" style="400" customWidth="1"/>
    <col min="9733" max="9733" width="8" style="400" customWidth="1"/>
    <col min="9734" max="9735" width="11" style="400" customWidth="1"/>
    <col min="9736" max="9736" width="9.5" style="400" customWidth="1"/>
    <col min="9737" max="9737" width="9.375" style="400" customWidth="1"/>
    <col min="9738" max="9738" width="8.375" style="400" customWidth="1"/>
    <col min="9739" max="9739" width="9.875" style="400" customWidth="1"/>
    <col min="9740" max="9740" width="10.125" style="400" customWidth="1"/>
    <col min="9741" max="9741" width="13.875" style="400" customWidth="1"/>
    <col min="9742" max="9985" width="8.875" style="400"/>
    <col min="9986" max="9986" width="5.125" style="400" customWidth="1"/>
    <col min="9987" max="9987" width="24.625" style="400" customWidth="1"/>
    <col min="9988" max="9988" width="20.5" style="400" customWidth="1"/>
    <col min="9989" max="9989" width="8" style="400" customWidth="1"/>
    <col min="9990" max="9991" width="11" style="400" customWidth="1"/>
    <col min="9992" max="9992" width="9.5" style="400" customWidth="1"/>
    <col min="9993" max="9993" width="9.375" style="400" customWidth="1"/>
    <col min="9994" max="9994" width="8.375" style="400" customWidth="1"/>
    <col min="9995" max="9995" width="9.875" style="400" customWidth="1"/>
    <col min="9996" max="9996" width="10.125" style="400" customWidth="1"/>
    <col min="9997" max="9997" width="13.875" style="400" customWidth="1"/>
    <col min="9998" max="10241" width="8.875" style="400"/>
    <col min="10242" max="10242" width="5.125" style="400" customWidth="1"/>
    <col min="10243" max="10243" width="24.625" style="400" customWidth="1"/>
    <col min="10244" max="10244" width="20.5" style="400" customWidth="1"/>
    <col min="10245" max="10245" width="8" style="400" customWidth="1"/>
    <col min="10246" max="10247" width="11" style="400" customWidth="1"/>
    <col min="10248" max="10248" width="9.5" style="400" customWidth="1"/>
    <col min="10249" max="10249" width="9.375" style="400" customWidth="1"/>
    <col min="10250" max="10250" width="8.375" style="400" customWidth="1"/>
    <col min="10251" max="10251" width="9.875" style="400" customWidth="1"/>
    <col min="10252" max="10252" width="10.125" style="400" customWidth="1"/>
    <col min="10253" max="10253" width="13.875" style="400" customWidth="1"/>
    <col min="10254" max="10497" width="8.875" style="400"/>
    <col min="10498" max="10498" width="5.125" style="400" customWidth="1"/>
    <col min="10499" max="10499" width="24.625" style="400" customWidth="1"/>
    <col min="10500" max="10500" width="20.5" style="400" customWidth="1"/>
    <col min="10501" max="10501" width="8" style="400" customWidth="1"/>
    <col min="10502" max="10503" width="11" style="400" customWidth="1"/>
    <col min="10504" max="10504" width="9.5" style="400" customWidth="1"/>
    <col min="10505" max="10505" width="9.375" style="400" customWidth="1"/>
    <col min="10506" max="10506" width="8.375" style="400" customWidth="1"/>
    <col min="10507" max="10507" width="9.875" style="400" customWidth="1"/>
    <col min="10508" max="10508" width="10.125" style="400" customWidth="1"/>
    <col min="10509" max="10509" width="13.875" style="400" customWidth="1"/>
    <col min="10510" max="10753" width="8.875" style="400"/>
    <col min="10754" max="10754" width="5.125" style="400" customWidth="1"/>
    <col min="10755" max="10755" width="24.625" style="400" customWidth="1"/>
    <col min="10756" max="10756" width="20.5" style="400" customWidth="1"/>
    <col min="10757" max="10757" width="8" style="400" customWidth="1"/>
    <col min="10758" max="10759" width="11" style="400" customWidth="1"/>
    <col min="10760" max="10760" width="9.5" style="400" customWidth="1"/>
    <col min="10761" max="10761" width="9.375" style="400" customWidth="1"/>
    <col min="10762" max="10762" width="8.375" style="400" customWidth="1"/>
    <col min="10763" max="10763" width="9.875" style="400" customWidth="1"/>
    <col min="10764" max="10764" width="10.125" style="400" customWidth="1"/>
    <col min="10765" max="10765" width="13.875" style="400" customWidth="1"/>
    <col min="10766" max="11009" width="8.875" style="400"/>
    <col min="11010" max="11010" width="5.125" style="400" customWidth="1"/>
    <col min="11011" max="11011" width="24.625" style="400" customWidth="1"/>
    <col min="11012" max="11012" width="20.5" style="400" customWidth="1"/>
    <col min="11013" max="11013" width="8" style="400" customWidth="1"/>
    <col min="11014" max="11015" width="11" style="400" customWidth="1"/>
    <col min="11016" max="11016" width="9.5" style="400" customWidth="1"/>
    <col min="11017" max="11017" width="9.375" style="400" customWidth="1"/>
    <col min="11018" max="11018" width="8.375" style="400" customWidth="1"/>
    <col min="11019" max="11019" width="9.875" style="400" customWidth="1"/>
    <col min="11020" max="11020" width="10.125" style="400" customWidth="1"/>
    <col min="11021" max="11021" width="13.875" style="400" customWidth="1"/>
    <col min="11022" max="11265" width="8.875" style="400"/>
    <col min="11266" max="11266" width="5.125" style="400" customWidth="1"/>
    <col min="11267" max="11267" width="24.625" style="400" customWidth="1"/>
    <col min="11268" max="11268" width="20.5" style="400" customWidth="1"/>
    <col min="11269" max="11269" width="8" style="400" customWidth="1"/>
    <col min="11270" max="11271" width="11" style="400" customWidth="1"/>
    <col min="11272" max="11272" width="9.5" style="400" customWidth="1"/>
    <col min="11273" max="11273" width="9.375" style="400" customWidth="1"/>
    <col min="11274" max="11274" width="8.375" style="400" customWidth="1"/>
    <col min="11275" max="11275" width="9.875" style="400" customWidth="1"/>
    <col min="11276" max="11276" width="10.125" style="400" customWidth="1"/>
    <col min="11277" max="11277" width="13.875" style="400" customWidth="1"/>
    <col min="11278" max="11521" width="8.875" style="400"/>
    <col min="11522" max="11522" width="5.125" style="400" customWidth="1"/>
    <col min="11523" max="11523" width="24.625" style="400" customWidth="1"/>
    <col min="11524" max="11524" width="20.5" style="400" customWidth="1"/>
    <col min="11525" max="11525" width="8" style="400" customWidth="1"/>
    <col min="11526" max="11527" width="11" style="400" customWidth="1"/>
    <col min="11528" max="11528" width="9.5" style="400" customWidth="1"/>
    <col min="11529" max="11529" width="9.375" style="400" customWidth="1"/>
    <col min="11530" max="11530" width="8.375" style="400" customWidth="1"/>
    <col min="11531" max="11531" width="9.875" style="400" customWidth="1"/>
    <col min="11532" max="11532" width="10.125" style="400" customWidth="1"/>
    <col min="11533" max="11533" width="13.875" style="400" customWidth="1"/>
    <col min="11534" max="11777" width="8.875" style="400"/>
    <col min="11778" max="11778" width="5.125" style="400" customWidth="1"/>
    <col min="11779" max="11779" width="24.625" style="400" customWidth="1"/>
    <col min="11780" max="11780" width="20.5" style="400" customWidth="1"/>
    <col min="11781" max="11781" width="8" style="400" customWidth="1"/>
    <col min="11782" max="11783" width="11" style="400" customWidth="1"/>
    <col min="11784" max="11784" width="9.5" style="400" customWidth="1"/>
    <col min="11785" max="11785" width="9.375" style="400" customWidth="1"/>
    <col min="11786" max="11786" width="8.375" style="400" customWidth="1"/>
    <col min="11787" max="11787" width="9.875" style="400" customWidth="1"/>
    <col min="11788" max="11788" width="10.125" style="400" customWidth="1"/>
    <col min="11789" max="11789" width="13.875" style="400" customWidth="1"/>
    <col min="11790" max="12033" width="8.875" style="400"/>
    <col min="12034" max="12034" width="5.125" style="400" customWidth="1"/>
    <col min="12035" max="12035" width="24.625" style="400" customWidth="1"/>
    <col min="12036" max="12036" width="20.5" style="400" customWidth="1"/>
    <col min="12037" max="12037" width="8" style="400" customWidth="1"/>
    <col min="12038" max="12039" width="11" style="400" customWidth="1"/>
    <col min="12040" max="12040" width="9.5" style="400" customWidth="1"/>
    <col min="12041" max="12041" width="9.375" style="400" customWidth="1"/>
    <col min="12042" max="12042" width="8.375" style="400" customWidth="1"/>
    <col min="12043" max="12043" width="9.875" style="400" customWidth="1"/>
    <col min="12044" max="12044" width="10.125" style="400" customWidth="1"/>
    <col min="12045" max="12045" width="13.875" style="400" customWidth="1"/>
    <col min="12046" max="12289" width="8.875" style="400"/>
    <col min="12290" max="12290" width="5.125" style="400" customWidth="1"/>
    <col min="12291" max="12291" width="24.625" style="400" customWidth="1"/>
    <col min="12292" max="12292" width="20.5" style="400" customWidth="1"/>
    <col min="12293" max="12293" width="8" style="400" customWidth="1"/>
    <col min="12294" max="12295" width="11" style="400" customWidth="1"/>
    <col min="12296" max="12296" width="9.5" style="400" customWidth="1"/>
    <col min="12297" max="12297" width="9.375" style="400" customWidth="1"/>
    <col min="12298" max="12298" width="8.375" style="400" customWidth="1"/>
    <col min="12299" max="12299" width="9.875" style="400" customWidth="1"/>
    <col min="12300" max="12300" width="10.125" style="400" customWidth="1"/>
    <col min="12301" max="12301" width="13.875" style="400" customWidth="1"/>
    <col min="12302" max="12545" width="8.875" style="400"/>
    <col min="12546" max="12546" width="5.125" style="400" customWidth="1"/>
    <col min="12547" max="12547" width="24.625" style="400" customWidth="1"/>
    <col min="12548" max="12548" width="20.5" style="400" customWidth="1"/>
    <col min="12549" max="12549" width="8" style="400" customWidth="1"/>
    <col min="12550" max="12551" width="11" style="400" customWidth="1"/>
    <col min="12552" max="12552" width="9.5" style="400" customWidth="1"/>
    <col min="12553" max="12553" width="9.375" style="400" customWidth="1"/>
    <col min="12554" max="12554" width="8.375" style="400" customWidth="1"/>
    <col min="12555" max="12555" width="9.875" style="400" customWidth="1"/>
    <col min="12556" max="12556" width="10.125" style="400" customWidth="1"/>
    <col min="12557" max="12557" width="13.875" style="400" customWidth="1"/>
    <col min="12558" max="12801" width="8.875" style="400"/>
    <col min="12802" max="12802" width="5.125" style="400" customWidth="1"/>
    <col min="12803" max="12803" width="24.625" style="400" customWidth="1"/>
    <col min="12804" max="12804" width="20.5" style="400" customWidth="1"/>
    <col min="12805" max="12805" width="8" style="400" customWidth="1"/>
    <col min="12806" max="12807" width="11" style="400" customWidth="1"/>
    <col min="12808" max="12808" width="9.5" style="400" customWidth="1"/>
    <col min="12809" max="12809" width="9.375" style="400" customWidth="1"/>
    <col min="12810" max="12810" width="8.375" style="400" customWidth="1"/>
    <col min="12811" max="12811" width="9.875" style="400" customWidth="1"/>
    <col min="12812" max="12812" width="10.125" style="400" customWidth="1"/>
    <col min="12813" max="12813" width="13.875" style="400" customWidth="1"/>
    <col min="12814" max="13057" width="8.875" style="400"/>
    <col min="13058" max="13058" width="5.125" style="400" customWidth="1"/>
    <col min="13059" max="13059" width="24.625" style="400" customWidth="1"/>
    <col min="13060" max="13060" width="20.5" style="400" customWidth="1"/>
    <col min="13061" max="13061" width="8" style="400" customWidth="1"/>
    <col min="13062" max="13063" width="11" style="400" customWidth="1"/>
    <col min="13064" max="13064" width="9.5" style="400" customWidth="1"/>
    <col min="13065" max="13065" width="9.375" style="400" customWidth="1"/>
    <col min="13066" max="13066" width="8.375" style="400" customWidth="1"/>
    <col min="13067" max="13067" width="9.875" style="400" customWidth="1"/>
    <col min="13068" max="13068" width="10.125" style="400" customWidth="1"/>
    <col min="13069" max="13069" width="13.875" style="400" customWidth="1"/>
    <col min="13070" max="13313" width="8.875" style="400"/>
    <col min="13314" max="13314" width="5.125" style="400" customWidth="1"/>
    <col min="13315" max="13315" width="24.625" style="400" customWidth="1"/>
    <col min="13316" max="13316" width="20.5" style="400" customWidth="1"/>
    <col min="13317" max="13317" width="8" style="400" customWidth="1"/>
    <col min="13318" max="13319" width="11" style="400" customWidth="1"/>
    <col min="13320" max="13320" width="9.5" style="400" customWidth="1"/>
    <col min="13321" max="13321" width="9.375" style="400" customWidth="1"/>
    <col min="13322" max="13322" width="8.375" style="400" customWidth="1"/>
    <col min="13323" max="13323" width="9.875" style="400" customWidth="1"/>
    <col min="13324" max="13324" width="10.125" style="400" customWidth="1"/>
    <col min="13325" max="13325" width="13.875" style="400" customWidth="1"/>
    <col min="13326" max="13569" width="8.875" style="400"/>
    <col min="13570" max="13570" width="5.125" style="400" customWidth="1"/>
    <col min="13571" max="13571" width="24.625" style="400" customWidth="1"/>
    <col min="13572" max="13572" width="20.5" style="400" customWidth="1"/>
    <col min="13573" max="13573" width="8" style="400" customWidth="1"/>
    <col min="13574" max="13575" width="11" style="400" customWidth="1"/>
    <col min="13576" max="13576" width="9.5" style="400" customWidth="1"/>
    <col min="13577" max="13577" width="9.375" style="400" customWidth="1"/>
    <col min="13578" max="13578" width="8.375" style="400" customWidth="1"/>
    <col min="13579" max="13579" width="9.875" style="400" customWidth="1"/>
    <col min="13580" max="13580" width="10.125" style="400" customWidth="1"/>
    <col min="13581" max="13581" width="13.875" style="400" customWidth="1"/>
    <col min="13582" max="13825" width="8.875" style="400"/>
    <col min="13826" max="13826" width="5.125" style="400" customWidth="1"/>
    <col min="13827" max="13827" width="24.625" style="400" customWidth="1"/>
    <col min="13828" max="13828" width="20.5" style="400" customWidth="1"/>
    <col min="13829" max="13829" width="8" style="400" customWidth="1"/>
    <col min="13830" max="13831" width="11" style="400" customWidth="1"/>
    <col min="13832" max="13832" width="9.5" style="400" customWidth="1"/>
    <col min="13833" max="13833" width="9.375" style="400" customWidth="1"/>
    <col min="13834" max="13834" width="8.375" style="400" customWidth="1"/>
    <col min="13835" max="13835" width="9.875" style="400" customWidth="1"/>
    <col min="13836" max="13836" width="10.125" style="400" customWidth="1"/>
    <col min="13837" max="13837" width="13.875" style="400" customWidth="1"/>
    <col min="13838" max="14081" width="8.875" style="400"/>
    <col min="14082" max="14082" width="5.125" style="400" customWidth="1"/>
    <col min="14083" max="14083" width="24.625" style="400" customWidth="1"/>
    <col min="14084" max="14084" width="20.5" style="400" customWidth="1"/>
    <col min="14085" max="14085" width="8" style="400" customWidth="1"/>
    <col min="14086" max="14087" width="11" style="400" customWidth="1"/>
    <col min="14088" max="14088" width="9.5" style="400" customWidth="1"/>
    <col min="14089" max="14089" width="9.375" style="400" customWidth="1"/>
    <col min="14090" max="14090" width="8.375" style="400" customWidth="1"/>
    <col min="14091" max="14091" width="9.875" style="400" customWidth="1"/>
    <col min="14092" max="14092" width="10.125" style="400" customWidth="1"/>
    <col min="14093" max="14093" width="13.875" style="400" customWidth="1"/>
    <col min="14094" max="14337" width="8.875" style="400"/>
    <col min="14338" max="14338" width="5.125" style="400" customWidth="1"/>
    <col min="14339" max="14339" width="24.625" style="400" customWidth="1"/>
    <col min="14340" max="14340" width="20.5" style="400" customWidth="1"/>
    <col min="14341" max="14341" width="8" style="400" customWidth="1"/>
    <col min="14342" max="14343" width="11" style="400" customWidth="1"/>
    <col min="14344" max="14344" width="9.5" style="400" customWidth="1"/>
    <col min="14345" max="14345" width="9.375" style="400" customWidth="1"/>
    <col min="14346" max="14346" width="8.375" style="400" customWidth="1"/>
    <col min="14347" max="14347" width="9.875" style="400" customWidth="1"/>
    <col min="14348" max="14348" width="10.125" style="400" customWidth="1"/>
    <col min="14349" max="14349" width="13.875" style="400" customWidth="1"/>
    <col min="14350" max="14593" width="8.875" style="400"/>
    <col min="14594" max="14594" width="5.125" style="400" customWidth="1"/>
    <col min="14595" max="14595" width="24.625" style="400" customWidth="1"/>
    <col min="14596" max="14596" width="20.5" style="400" customWidth="1"/>
    <col min="14597" max="14597" width="8" style="400" customWidth="1"/>
    <col min="14598" max="14599" width="11" style="400" customWidth="1"/>
    <col min="14600" max="14600" width="9.5" style="400" customWidth="1"/>
    <col min="14601" max="14601" width="9.375" style="400" customWidth="1"/>
    <col min="14602" max="14602" width="8.375" style="400" customWidth="1"/>
    <col min="14603" max="14603" width="9.875" style="400" customWidth="1"/>
    <col min="14604" max="14604" width="10.125" style="400" customWidth="1"/>
    <col min="14605" max="14605" width="13.875" style="400" customWidth="1"/>
    <col min="14606" max="14849" width="8.875" style="400"/>
    <col min="14850" max="14850" width="5.125" style="400" customWidth="1"/>
    <col min="14851" max="14851" width="24.625" style="400" customWidth="1"/>
    <col min="14852" max="14852" width="20.5" style="400" customWidth="1"/>
    <col min="14853" max="14853" width="8" style="400" customWidth="1"/>
    <col min="14854" max="14855" width="11" style="400" customWidth="1"/>
    <col min="14856" max="14856" width="9.5" style="400" customWidth="1"/>
    <col min="14857" max="14857" width="9.375" style="400" customWidth="1"/>
    <col min="14858" max="14858" width="8.375" style="400" customWidth="1"/>
    <col min="14859" max="14859" width="9.875" style="400" customWidth="1"/>
    <col min="14860" max="14860" width="10.125" style="400" customWidth="1"/>
    <col min="14861" max="14861" width="13.875" style="400" customWidth="1"/>
    <col min="14862" max="15105" width="8.875" style="400"/>
    <col min="15106" max="15106" width="5.125" style="400" customWidth="1"/>
    <col min="15107" max="15107" width="24.625" style="400" customWidth="1"/>
    <col min="15108" max="15108" width="20.5" style="400" customWidth="1"/>
    <col min="15109" max="15109" width="8" style="400" customWidth="1"/>
    <col min="15110" max="15111" width="11" style="400" customWidth="1"/>
    <col min="15112" max="15112" width="9.5" style="400" customWidth="1"/>
    <col min="15113" max="15113" width="9.375" style="400" customWidth="1"/>
    <col min="15114" max="15114" width="8.375" style="400" customWidth="1"/>
    <col min="15115" max="15115" width="9.875" style="400" customWidth="1"/>
    <col min="15116" max="15116" width="10.125" style="400" customWidth="1"/>
    <col min="15117" max="15117" width="13.875" style="400" customWidth="1"/>
    <col min="15118" max="15361" width="8.875" style="400"/>
    <col min="15362" max="15362" width="5.125" style="400" customWidth="1"/>
    <col min="15363" max="15363" width="24.625" style="400" customWidth="1"/>
    <col min="15364" max="15364" width="20.5" style="400" customWidth="1"/>
    <col min="15365" max="15365" width="8" style="400" customWidth="1"/>
    <col min="15366" max="15367" width="11" style="400" customWidth="1"/>
    <col min="15368" max="15368" width="9.5" style="400" customWidth="1"/>
    <col min="15369" max="15369" width="9.375" style="400" customWidth="1"/>
    <col min="15370" max="15370" width="8.375" style="400" customWidth="1"/>
    <col min="15371" max="15371" width="9.875" style="400" customWidth="1"/>
    <col min="15372" max="15372" width="10.125" style="400" customWidth="1"/>
    <col min="15373" max="15373" width="13.875" style="400" customWidth="1"/>
    <col min="15374" max="15617" width="8.875" style="400"/>
    <col min="15618" max="15618" width="5.125" style="400" customWidth="1"/>
    <col min="15619" max="15619" width="24.625" style="400" customWidth="1"/>
    <col min="15620" max="15620" width="20.5" style="400" customWidth="1"/>
    <col min="15621" max="15621" width="8" style="400" customWidth="1"/>
    <col min="15622" max="15623" width="11" style="400" customWidth="1"/>
    <col min="15624" max="15624" width="9.5" style="400" customWidth="1"/>
    <col min="15625" max="15625" width="9.375" style="400" customWidth="1"/>
    <col min="15626" max="15626" width="8.375" style="400" customWidth="1"/>
    <col min="15627" max="15627" width="9.875" style="400" customWidth="1"/>
    <col min="15628" max="15628" width="10.125" style="400" customWidth="1"/>
    <col min="15629" max="15629" width="13.875" style="400" customWidth="1"/>
    <col min="15630" max="15873" width="8.875" style="400"/>
    <col min="15874" max="15874" width="5.125" style="400" customWidth="1"/>
    <col min="15875" max="15875" width="24.625" style="400" customWidth="1"/>
    <col min="15876" max="15876" width="20.5" style="400" customWidth="1"/>
    <col min="15877" max="15877" width="8" style="400" customWidth="1"/>
    <col min="15878" max="15879" width="11" style="400" customWidth="1"/>
    <col min="15880" max="15880" width="9.5" style="400" customWidth="1"/>
    <col min="15881" max="15881" width="9.375" style="400" customWidth="1"/>
    <col min="15882" max="15882" width="8.375" style="400" customWidth="1"/>
    <col min="15883" max="15883" width="9.875" style="400" customWidth="1"/>
    <col min="15884" max="15884" width="10.125" style="400" customWidth="1"/>
    <col min="15885" max="15885" width="13.875" style="400" customWidth="1"/>
    <col min="15886" max="16129" width="8.875" style="400"/>
    <col min="16130" max="16130" width="5.125" style="400" customWidth="1"/>
    <col min="16131" max="16131" width="24.625" style="400" customWidth="1"/>
    <col min="16132" max="16132" width="20.5" style="400" customWidth="1"/>
    <col min="16133" max="16133" width="8" style="400" customWidth="1"/>
    <col min="16134" max="16135" width="11" style="400" customWidth="1"/>
    <col min="16136" max="16136" width="9.5" style="400" customWidth="1"/>
    <col min="16137" max="16137" width="9.375" style="400" customWidth="1"/>
    <col min="16138" max="16138" width="8.375" style="400" customWidth="1"/>
    <col min="16139" max="16139" width="9.875" style="400" customWidth="1"/>
    <col min="16140" max="16140" width="10.125" style="400" customWidth="1"/>
    <col min="16141" max="16141" width="13.875" style="400" customWidth="1"/>
    <col min="16142" max="16384" width="8.875" style="400"/>
  </cols>
  <sheetData>
    <row r="1" ht="36" customHeight="1" spans="1:13">
      <c r="A1" s="401" t="s">
        <v>203</v>
      </c>
      <c r="B1" s="401"/>
      <c r="C1" s="401"/>
      <c r="D1" s="401"/>
      <c r="E1" s="401"/>
      <c r="F1" s="401"/>
      <c r="G1" s="401"/>
      <c r="H1" s="401"/>
      <c r="I1" s="401"/>
      <c r="J1" s="401"/>
      <c r="K1" s="401"/>
      <c r="L1" s="401"/>
      <c r="M1" s="401"/>
    </row>
    <row r="2" ht="18.75" customHeight="1" spans="1:13">
      <c r="A2" s="403" t="str">
        <f>设定!B3&amp;设定!C3</f>
        <v>被评估单位：江阴市金捷利制管有限公司</v>
      </c>
      <c r="B2" s="410"/>
      <c r="C2" s="410"/>
      <c r="D2" s="405" t="str">
        <f>设定!B4&amp;YEAR(设定!C4)&amp;"年"&amp;MONTH(设定!C4)&amp;"月"&amp;DAY(设定!C4)&amp;"日"</f>
        <v>评估基准日：2022年3月17日</v>
      </c>
      <c r="E2" s="405"/>
      <c r="F2" s="405"/>
      <c r="G2" s="405"/>
      <c r="H2" s="405"/>
      <c r="I2" s="405"/>
      <c r="J2" s="405"/>
      <c r="K2" s="410"/>
      <c r="L2" s="410"/>
      <c r="M2" s="410" t="s">
        <v>19</v>
      </c>
    </row>
    <row r="3" s="398" customFormat="1" ht="20.1" customHeight="1" spans="1:13">
      <c r="A3" s="415" t="s">
        <v>20</v>
      </c>
      <c r="B3" s="415" t="s">
        <v>21</v>
      </c>
      <c r="C3" s="415" t="s">
        <v>22</v>
      </c>
      <c r="D3" s="406" t="s">
        <v>23</v>
      </c>
      <c r="E3" s="406" t="s">
        <v>24</v>
      </c>
      <c r="F3" s="407" t="s">
        <v>25</v>
      </c>
      <c r="G3" s="407" t="s">
        <v>26</v>
      </c>
      <c r="H3" s="406" t="s">
        <v>27</v>
      </c>
      <c r="I3" s="407" t="s">
        <v>204</v>
      </c>
      <c r="J3" s="418" t="s">
        <v>205</v>
      </c>
      <c r="K3" s="419"/>
      <c r="L3" s="420"/>
      <c r="M3" s="415" t="s">
        <v>8</v>
      </c>
    </row>
    <row r="4" s="398" customFormat="1" ht="29.25" customHeight="1" spans="1:13">
      <c r="A4" s="415"/>
      <c r="B4" s="415"/>
      <c r="C4" s="415"/>
      <c r="D4" s="415"/>
      <c r="E4" s="415"/>
      <c r="F4" s="408"/>
      <c r="G4" s="408"/>
      <c r="H4" s="415"/>
      <c r="I4" s="421"/>
      <c r="J4" s="406" t="s">
        <v>26</v>
      </c>
      <c r="K4" s="406" t="s">
        <v>206</v>
      </c>
      <c r="L4" s="406" t="s">
        <v>28</v>
      </c>
      <c r="M4" s="415"/>
    </row>
    <row r="5" ht="24.95" customHeight="1" spans="1:13">
      <c r="A5" s="415">
        <f>物资类申报表!A5</f>
        <v>1</v>
      </c>
      <c r="B5" s="415" t="str">
        <f>物资类申报表!B5</f>
        <v>成品焊管</v>
      </c>
      <c r="C5" s="415" t="str">
        <f>物资类申报表!C5</f>
        <v>φ10-φ50</v>
      </c>
      <c r="D5" s="415" t="str">
        <f>物资类申报表!D5</f>
        <v>吨</v>
      </c>
      <c r="E5" s="415">
        <f>物资类申报表!E5</f>
        <v>98</v>
      </c>
      <c r="F5" s="415">
        <f>物资类申报表!F5</f>
        <v>0</v>
      </c>
      <c r="G5" s="415">
        <f>物资类申报表!G5</f>
        <v>98</v>
      </c>
      <c r="H5" s="415">
        <f>物资类申报表!H5</f>
        <v>98</v>
      </c>
      <c r="I5" s="415"/>
      <c r="J5" s="422"/>
      <c r="K5" s="415" t="s">
        <v>207</v>
      </c>
      <c r="L5" s="415" t="s">
        <v>32</v>
      </c>
      <c r="M5" s="422"/>
    </row>
    <row r="6" ht="24.95" customHeight="1" spans="1:13">
      <c r="A6" s="415">
        <f>物资类申报表!A6</f>
        <v>2</v>
      </c>
      <c r="B6" s="415" t="str">
        <f>物资类申报表!B6</f>
        <v>成品钢带</v>
      </c>
      <c r="C6" s="415" t="str">
        <f>物资类申报表!C6</f>
        <v>31mm-155mm</v>
      </c>
      <c r="D6" s="415" t="str">
        <f>物资类申报表!D6</f>
        <v>吨</v>
      </c>
      <c r="E6" s="415">
        <f>物资类申报表!E6</f>
        <v>249</v>
      </c>
      <c r="F6" s="415">
        <f>物资类申报表!F6</f>
        <v>0</v>
      </c>
      <c r="G6" s="415">
        <f>物资类申报表!G6</f>
        <v>249</v>
      </c>
      <c r="H6" s="415">
        <f>物资类申报表!H6</f>
        <v>249</v>
      </c>
      <c r="I6" s="422"/>
      <c r="J6" s="422"/>
      <c r="K6" s="422"/>
      <c r="L6" s="422"/>
      <c r="M6" s="422"/>
    </row>
    <row r="7" ht="24.95" customHeight="1" spans="1:13">
      <c r="A7" s="415">
        <f>物资类申报表!A7</f>
        <v>3</v>
      </c>
      <c r="B7" s="415" t="str">
        <f>物资类申报表!B7</f>
        <v>铁架</v>
      </c>
      <c r="C7" s="415">
        <f>物资类申报表!C7</f>
        <v>0</v>
      </c>
      <c r="D7" s="415" t="str">
        <f>物资类申报表!D7</f>
        <v>只</v>
      </c>
      <c r="E7" s="415">
        <f>物资类申报表!E7</f>
        <v>25</v>
      </c>
      <c r="F7" s="415">
        <f>物资类申报表!F7</f>
        <v>0</v>
      </c>
      <c r="G7" s="415">
        <f>物资类申报表!G7</f>
        <v>25</v>
      </c>
      <c r="H7" s="415">
        <f>物资类申报表!H7</f>
        <v>0</v>
      </c>
      <c r="I7" s="422"/>
      <c r="J7" s="422"/>
      <c r="K7" s="422"/>
      <c r="L7" s="422"/>
      <c r="M7" s="422"/>
    </row>
    <row r="8" ht="24.95" customHeight="1" spans="1:13">
      <c r="A8" s="415">
        <f>物资类申报表!A8</f>
        <v>4</v>
      </c>
      <c r="B8" s="415" t="str">
        <f>物资类申报表!B8</f>
        <v>储带架</v>
      </c>
      <c r="C8" s="415">
        <f>物资类申报表!C8</f>
        <v>0</v>
      </c>
      <c r="D8" s="415" t="str">
        <f>物资类申报表!D8</f>
        <v>条</v>
      </c>
      <c r="E8" s="415">
        <f>物资类申报表!E8</f>
        <v>49</v>
      </c>
      <c r="F8" s="415">
        <f>物资类申报表!F8</f>
        <v>0</v>
      </c>
      <c r="G8" s="415">
        <f>物资类申报表!G8</f>
        <v>49</v>
      </c>
      <c r="H8" s="415">
        <f>物资类申报表!H8</f>
        <v>0</v>
      </c>
      <c r="I8" s="422"/>
      <c r="J8" s="422"/>
      <c r="K8" s="422"/>
      <c r="L8" s="422"/>
      <c r="M8" s="422"/>
    </row>
    <row r="9" ht="24.95" customHeight="1" spans="1:13">
      <c r="A9" s="415">
        <f>物资类申报表!A9</f>
        <v>5</v>
      </c>
      <c r="B9" s="415" t="str">
        <f>物资类申报表!B9</f>
        <v>储管架</v>
      </c>
      <c r="C9" s="415">
        <f>物资类申报表!C9</f>
        <v>0</v>
      </c>
      <c r="D9" s="415" t="str">
        <f>物资类申报表!D9</f>
        <v>条</v>
      </c>
      <c r="E9" s="415">
        <f>物资类申报表!E9</f>
        <v>80</v>
      </c>
      <c r="F9" s="415">
        <f>物资类申报表!F9</f>
        <v>0</v>
      </c>
      <c r="G9" s="415">
        <f>物资类申报表!G9</f>
        <v>80</v>
      </c>
      <c r="H9" s="415">
        <f>物资类申报表!H9</f>
        <v>0</v>
      </c>
      <c r="I9" s="422"/>
      <c r="J9" s="422"/>
      <c r="K9" s="422"/>
      <c r="L9" s="422"/>
      <c r="M9" s="422"/>
    </row>
    <row r="10" ht="24.95" customHeight="1" spans="1:13">
      <c r="A10" s="415">
        <f>物资类申报表!A10</f>
        <v>6</v>
      </c>
      <c r="B10" s="415" t="str">
        <f>物资类申报表!B10</f>
        <v>气瓶</v>
      </c>
      <c r="C10" s="415">
        <f>物资类申报表!C10</f>
        <v>0</v>
      </c>
      <c r="D10" s="415" t="str">
        <f>物资类申报表!D10</f>
        <v>只</v>
      </c>
      <c r="E10" s="415">
        <f>物资类申报表!E10</f>
        <v>12</v>
      </c>
      <c r="F10" s="415">
        <f>物资类申报表!F10</f>
        <v>0</v>
      </c>
      <c r="G10" s="415">
        <f>物资类申报表!G10</f>
        <v>12</v>
      </c>
      <c r="H10" s="415">
        <f>物资类申报表!H10</f>
        <v>0</v>
      </c>
      <c r="I10" s="422"/>
      <c r="J10" s="422"/>
      <c r="K10" s="422"/>
      <c r="L10" s="422"/>
      <c r="M10" s="422"/>
    </row>
    <row r="11" ht="24.95" customHeight="1" spans="1:13">
      <c r="A11" s="415">
        <f>物资类申报表!A11</f>
        <v>7</v>
      </c>
      <c r="B11" s="415" t="str">
        <f>物资类申报表!B11</f>
        <v>模具</v>
      </c>
      <c r="C11" s="415" t="str">
        <f>物资类申报表!C11</f>
        <v>φ10-φ50</v>
      </c>
      <c r="D11" s="415" t="str">
        <f>物资类申报表!D11</f>
        <v>套</v>
      </c>
      <c r="E11" s="415">
        <f>物资类申报表!E11</f>
        <v>42</v>
      </c>
      <c r="F11" s="415">
        <f>物资类申报表!F11</f>
        <v>0</v>
      </c>
      <c r="G11" s="415">
        <f>物资类申报表!G11</f>
        <v>42</v>
      </c>
      <c r="H11" s="415">
        <f>物资类申报表!H11</f>
        <v>0</v>
      </c>
      <c r="I11" s="422"/>
      <c r="J11" s="422"/>
      <c r="K11" s="422"/>
      <c r="L11" s="422"/>
      <c r="M11" s="422"/>
    </row>
    <row r="12" ht="24.95" customHeight="1" spans="1:13">
      <c r="A12" s="415">
        <f>物资类申报表!A12</f>
        <v>8</v>
      </c>
      <c r="B12" s="415" t="str">
        <f>物资类申报表!B12</f>
        <v>仓库（配件）</v>
      </c>
      <c r="C12" s="415">
        <f>物资类申报表!C12</f>
        <v>0</v>
      </c>
      <c r="D12" s="415" t="str">
        <f>物资类申报表!D12</f>
        <v>批</v>
      </c>
      <c r="E12" s="415">
        <f>物资类申报表!E12</f>
        <v>1</v>
      </c>
      <c r="F12" s="415">
        <f>物资类申报表!F12</f>
        <v>0</v>
      </c>
      <c r="G12" s="415">
        <f>物资类申报表!G12</f>
        <v>1</v>
      </c>
      <c r="H12" s="415">
        <f>物资类申报表!H12</f>
        <v>0</v>
      </c>
      <c r="I12" s="422"/>
      <c r="J12" s="422"/>
      <c r="K12" s="422"/>
      <c r="L12" s="422"/>
      <c r="M12" s="422"/>
    </row>
    <row r="13" ht="24.95" customHeight="1" spans="1:13">
      <c r="A13" s="415">
        <f>物资类申报表!A13</f>
        <v>9</v>
      </c>
      <c r="B13" s="415" t="str">
        <f>物资类申报表!B13</f>
        <v>办公室柜子</v>
      </c>
      <c r="C13" s="415">
        <f>物资类申报表!C13</f>
        <v>0</v>
      </c>
      <c r="D13" s="415" t="str">
        <f>物资类申报表!D13</f>
        <v>个</v>
      </c>
      <c r="E13" s="415">
        <f>物资类申报表!E13</f>
        <v>5</v>
      </c>
      <c r="F13" s="415">
        <f>物资类申报表!F13</f>
        <v>0</v>
      </c>
      <c r="G13" s="415">
        <f>物资类申报表!G13</f>
        <v>5</v>
      </c>
      <c r="H13" s="415">
        <f>物资类申报表!H13</f>
        <v>0</v>
      </c>
      <c r="I13" s="422"/>
      <c r="J13" s="422"/>
      <c r="K13" s="422"/>
      <c r="L13" s="422"/>
      <c r="M13" s="422"/>
    </row>
    <row r="14" ht="24.95" customHeight="1" spans="1:13">
      <c r="A14" s="415">
        <f>物资类申报表!A14</f>
        <v>10</v>
      </c>
      <c r="B14" s="415" t="str">
        <f>物资类申报表!B14</f>
        <v>办公室椅子</v>
      </c>
      <c r="C14" s="415">
        <f>物资类申报表!C14</f>
        <v>0</v>
      </c>
      <c r="D14" s="415" t="str">
        <f>物资类申报表!D14</f>
        <v>把</v>
      </c>
      <c r="E14" s="415">
        <f>物资类申报表!E14</f>
        <v>8</v>
      </c>
      <c r="F14" s="415">
        <f>物资类申报表!F14</f>
        <v>0</v>
      </c>
      <c r="G14" s="415">
        <f>物资类申报表!G14</f>
        <v>8</v>
      </c>
      <c r="H14" s="415">
        <f>物资类申报表!H14</f>
        <v>0</v>
      </c>
      <c r="I14" s="422"/>
      <c r="J14" s="422"/>
      <c r="K14" s="422"/>
      <c r="L14" s="422"/>
      <c r="M14" s="422"/>
    </row>
    <row r="15" ht="24.95" customHeight="1" spans="1:13">
      <c r="A15" s="415">
        <f>物资类申报表!A15</f>
        <v>11</v>
      </c>
      <c r="B15" s="415" t="str">
        <f>物资类申报表!B15</f>
        <v>办公室桌子</v>
      </c>
      <c r="C15" s="415">
        <f>物资类申报表!C15</f>
        <v>0</v>
      </c>
      <c r="D15" s="415" t="str">
        <f>物资类申报表!D15</f>
        <v>个</v>
      </c>
      <c r="E15" s="415">
        <f>物资类申报表!E15</f>
        <v>9</v>
      </c>
      <c r="F15" s="415">
        <f>物资类申报表!F15</f>
        <v>0</v>
      </c>
      <c r="G15" s="415">
        <f>物资类申报表!G15</f>
        <v>9</v>
      </c>
      <c r="H15" s="415">
        <f>物资类申报表!H15</f>
        <v>0</v>
      </c>
      <c r="I15" s="422"/>
      <c r="J15" s="422"/>
      <c r="K15" s="422"/>
      <c r="L15" s="422"/>
      <c r="M15" s="422"/>
    </row>
    <row r="16" ht="24.95" customHeight="1" spans="1:13">
      <c r="A16" s="415">
        <f>物资类申报表!A16</f>
        <v>12</v>
      </c>
      <c r="B16" s="415" t="str">
        <f>物资类申报表!B16</f>
        <v>办公室沙发</v>
      </c>
      <c r="C16" s="415">
        <f>物资类申报表!C16</f>
        <v>0</v>
      </c>
      <c r="D16" s="415" t="str">
        <f>物资类申报表!D16</f>
        <v>套</v>
      </c>
      <c r="E16" s="415">
        <f>物资类申报表!E16</f>
        <v>1</v>
      </c>
      <c r="F16" s="415">
        <f>物资类申报表!F16</f>
        <v>0</v>
      </c>
      <c r="G16" s="415">
        <f>物资类申报表!G16</f>
        <v>1</v>
      </c>
      <c r="H16" s="415">
        <f>物资类申报表!H16</f>
        <v>0</v>
      </c>
      <c r="I16" s="422"/>
      <c r="J16" s="422"/>
      <c r="K16" s="422"/>
      <c r="L16" s="422"/>
      <c r="M16" s="422"/>
    </row>
    <row r="17" ht="24.95" customHeight="1" spans="1:13">
      <c r="A17" s="415">
        <f>物资类申报表!A17</f>
        <v>13</v>
      </c>
      <c r="B17" s="415" t="str">
        <f>物资类申报表!B17</f>
        <v>食堂餐桌</v>
      </c>
      <c r="C17" s="415">
        <f>物资类申报表!C17</f>
        <v>0</v>
      </c>
      <c r="D17" s="415" t="str">
        <f>物资类申报表!D17</f>
        <v>套</v>
      </c>
      <c r="E17" s="415">
        <f>物资类申报表!E17</f>
        <v>8</v>
      </c>
      <c r="F17" s="415">
        <f>物资类申报表!F17</f>
        <v>0</v>
      </c>
      <c r="G17" s="415">
        <f>物资类申报表!G17</f>
        <v>8</v>
      </c>
      <c r="H17" s="415">
        <f>物资类申报表!H17</f>
        <v>0</v>
      </c>
      <c r="I17" s="422"/>
      <c r="J17" s="422"/>
      <c r="K17" s="422"/>
      <c r="L17" s="422"/>
      <c r="M17" s="422"/>
    </row>
    <row r="18" ht="24.95" customHeight="1" spans="1:13">
      <c r="A18" s="415">
        <f>物资类申报表!A18</f>
        <v>14</v>
      </c>
      <c r="B18" s="415" t="str">
        <f>物资类申报表!B18</f>
        <v>空调</v>
      </c>
      <c r="C18" s="415">
        <f>物资类申报表!C18</f>
        <v>0</v>
      </c>
      <c r="D18" s="415" t="str">
        <f>物资类申报表!D18</f>
        <v>只</v>
      </c>
      <c r="E18" s="415">
        <f>物资类申报表!E18</f>
        <v>5</v>
      </c>
      <c r="F18" s="415">
        <f>物资类申报表!F18</f>
        <v>0</v>
      </c>
      <c r="G18" s="415">
        <f>物资类申报表!G18</f>
        <v>5</v>
      </c>
      <c r="H18" s="415">
        <f>物资类申报表!H18</f>
        <v>0</v>
      </c>
      <c r="I18" s="422"/>
      <c r="J18" s="422"/>
      <c r="K18" s="422"/>
      <c r="L18" s="422"/>
      <c r="M18" s="422"/>
    </row>
    <row r="19" ht="24.95" customHeight="1" spans="1:13">
      <c r="A19" s="415">
        <f>物资类申报表!A19</f>
        <v>15</v>
      </c>
      <c r="B19" s="415" t="str">
        <f>物资类申报表!B19</f>
        <v>冰箱</v>
      </c>
      <c r="C19" s="415">
        <f>物资类申报表!C19</f>
        <v>0</v>
      </c>
      <c r="D19" s="415" t="str">
        <f>物资类申报表!D19</f>
        <v>只</v>
      </c>
      <c r="E19" s="415">
        <f>物资类申报表!E19</f>
        <v>2</v>
      </c>
      <c r="F19" s="415">
        <f>物资类申报表!F19</f>
        <v>0</v>
      </c>
      <c r="G19" s="415">
        <f>物资类申报表!G19</f>
        <v>2</v>
      </c>
      <c r="H19" s="415">
        <f>物资类申报表!H19</f>
        <v>0</v>
      </c>
      <c r="I19" s="422"/>
      <c r="J19" s="422"/>
      <c r="K19" s="422"/>
      <c r="L19" s="422"/>
      <c r="M19" s="422"/>
    </row>
    <row r="20" ht="24.95" customHeight="1" spans="1:13">
      <c r="A20" s="415">
        <f>物资类申报表!A20</f>
        <v>16</v>
      </c>
      <c r="B20" s="415" t="str">
        <f>物资类申报表!B20</f>
        <v>保险柜</v>
      </c>
      <c r="C20" s="415">
        <f>物资类申报表!C20</f>
        <v>0</v>
      </c>
      <c r="D20" s="415" t="str">
        <f>物资类申报表!D20</f>
        <v>只</v>
      </c>
      <c r="E20" s="415">
        <f>物资类申报表!E20</f>
        <v>2</v>
      </c>
      <c r="F20" s="415">
        <f>物资类申报表!F20</f>
        <v>0</v>
      </c>
      <c r="G20" s="415">
        <f>物资类申报表!G20</f>
        <v>2</v>
      </c>
      <c r="H20" s="415">
        <f>物资类申报表!H20</f>
        <v>0</v>
      </c>
      <c r="I20" s="422"/>
      <c r="J20" s="422"/>
      <c r="K20" s="422"/>
      <c r="L20" s="422"/>
      <c r="M20" s="422"/>
    </row>
    <row r="21" ht="24.95" customHeight="1" spans="1:13">
      <c r="A21" s="415">
        <f>物资类申报表!A21</f>
        <v>17</v>
      </c>
      <c r="B21" s="415" t="str">
        <f>物资类申报表!B21</f>
        <v>电子秤</v>
      </c>
      <c r="C21" s="415">
        <f>物资类申报表!C21</f>
        <v>0</v>
      </c>
      <c r="D21" s="415" t="str">
        <f>物资类申报表!D21</f>
        <v>只</v>
      </c>
      <c r="E21" s="415">
        <f>物资类申报表!E21</f>
        <v>3</v>
      </c>
      <c r="F21" s="415">
        <f>物资类申报表!F21</f>
        <v>0</v>
      </c>
      <c r="G21" s="415">
        <f>物资类申报表!G21</f>
        <v>3</v>
      </c>
      <c r="H21" s="415">
        <f>物资类申报表!H21</f>
        <v>0</v>
      </c>
      <c r="I21" s="422"/>
      <c r="J21" s="422"/>
      <c r="K21" s="422"/>
      <c r="L21" s="422"/>
      <c r="M21" s="422"/>
    </row>
    <row r="22" ht="24.95" customHeight="1" spans="1:13">
      <c r="A22" s="415">
        <f>物资类申报表!A22</f>
        <v>18</v>
      </c>
      <c r="B22" s="415" t="str">
        <f>物资类申报表!B22</f>
        <v>椅子配件管</v>
      </c>
      <c r="C22" s="415">
        <f>物资类申报表!C22</f>
        <v>0</v>
      </c>
      <c r="D22" s="415" t="str">
        <f>物资类申报表!D22</f>
        <v>吨</v>
      </c>
      <c r="E22" s="415">
        <f>物资类申报表!E22</f>
        <v>2</v>
      </c>
      <c r="F22" s="415">
        <f>物资类申报表!F22</f>
        <v>0</v>
      </c>
      <c r="G22" s="415">
        <f>物资类申报表!G22</f>
        <v>2</v>
      </c>
      <c r="H22" s="415">
        <f>物资类申报表!H22</f>
        <v>2</v>
      </c>
      <c r="I22" s="422"/>
      <c r="J22" s="422"/>
      <c r="K22" s="422"/>
      <c r="L22" s="422"/>
      <c r="M22" s="422"/>
    </row>
    <row r="23" ht="24.95" customHeight="1" spans="1:13">
      <c r="A23" s="415">
        <f>物资类申报表!A23</f>
        <v>19</v>
      </c>
      <c r="B23" s="415" t="str">
        <f>物资类申报表!B23</f>
        <v>手动叉车</v>
      </c>
      <c r="C23" s="415">
        <f>物资类申报表!C23</f>
        <v>0</v>
      </c>
      <c r="D23" s="415" t="str">
        <f>物资类申报表!D23</f>
        <v>台</v>
      </c>
      <c r="E23" s="415">
        <f>物资类申报表!E23</f>
        <v>1</v>
      </c>
      <c r="F23" s="415">
        <f>物资类申报表!F23</f>
        <v>0</v>
      </c>
      <c r="G23" s="415">
        <f>物资类申报表!G23</f>
        <v>1</v>
      </c>
      <c r="H23" s="415">
        <f>物资类申报表!H23</f>
        <v>0</v>
      </c>
      <c r="I23" s="422"/>
      <c r="J23" s="422"/>
      <c r="K23" s="422"/>
      <c r="L23" s="422"/>
      <c r="M23" s="422"/>
    </row>
    <row r="24" ht="24.95" customHeight="1" spans="1:13">
      <c r="A24" s="415">
        <f>物资类申报表!A24</f>
        <v>20</v>
      </c>
      <c r="B24" s="415" t="str">
        <f>物资类申报表!B24</f>
        <v>防绣油桶</v>
      </c>
      <c r="C24" s="415">
        <f>物资类申报表!C24</f>
        <v>0</v>
      </c>
      <c r="D24" s="415" t="str">
        <f>物资类申报表!D24</f>
        <v>桶</v>
      </c>
      <c r="E24" s="415">
        <f>物资类申报表!E24</f>
        <v>10</v>
      </c>
      <c r="F24" s="415">
        <f>物资类申报表!F24</f>
        <v>0</v>
      </c>
      <c r="G24" s="415">
        <f>物资类申报表!G24</f>
        <v>10</v>
      </c>
      <c r="H24" s="415">
        <f>物资类申报表!H24</f>
        <v>0</v>
      </c>
      <c r="I24" s="422"/>
      <c r="J24" s="422"/>
      <c r="K24" s="422"/>
      <c r="L24" s="422"/>
      <c r="M24" s="422"/>
    </row>
    <row r="25" ht="24.95" customHeight="1" spans="1:13">
      <c r="A25" s="415">
        <f>物资类申报表!A25</f>
        <v>21</v>
      </c>
      <c r="B25" s="415" t="str">
        <f>物资类申报表!B25</f>
        <v>储管架</v>
      </c>
      <c r="C25" s="415">
        <f>物资类申报表!C25</f>
        <v>0</v>
      </c>
      <c r="D25" s="415" t="str">
        <f>物资类申报表!D25</f>
        <v>条</v>
      </c>
      <c r="E25" s="415">
        <f>物资类申报表!E25</f>
        <v>87</v>
      </c>
      <c r="F25" s="415">
        <f>物资类申报表!F25</f>
        <v>0</v>
      </c>
      <c r="G25" s="415">
        <f>物资类申报表!G25</f>
        <v>87</v>
      </c>
      <c r="H25" s="415">
        <f>物资类申报表!H25</f>
        <v>0</v>
      </c>
      <c r="I25" s="422"/>
      <c r="J25" s="422"/>
      <c r="K25" s="422"/>
      <c r="L25" s="422"/>
      <c r="M25" s="422"/>
    </row>
    <row r="26" ht="24.95" customHeight="1" spans="1:13">
      <c r="A26" s="415">
        <f>物资类申报表!A26</f>
        <v>22</v>
      </c>
      <c r="B26" s="415" t="str">
        <f>物资类申报表!B26</f>
        <v>废料框</v>
      </c>
      <c r="C26" s="415">
        <f>物资类申报表!C26</f>
        <v>0</v>
      </c>
      <c r="D26" s="415" t="str">
        <f>物资类申报表!D26</f>
        <v>只</v>
      </c>
      <c r="E26" s="415">
        <f>物资类申报表!E26</f>
        <v>6</v>
      </c>
      <c r="F26" s="415">
        <f>物资类申报表!F26</f>
        <v>0</v>
      </c>
      <c r="G26" s="415">
        <f>物资类申报表!G26</f>
        <v>6</v>
      </c>
      <c r="H26" s="415">
        <f>物资类申报表!H26</f>
        <v>0</v>
      </c>
      <c r="I26" s="422"/>
      <c r="J26" s="422"/>
      <c r="K26" s="422"/>
      <c r="L26" s="422"/>
      <c r="M26" s="422"/>
    </row>
    <row r="27" ht="24.95" customHeight="1" spans="1:13">
      <c r="A27" s="415">
        <f>物资类申报表!A27</f>
        <v>23</v>
      </c>
      <c r="B27" s="415" t="str">
        <f>物资类申报表!B27</f>
        <v>风机</v>
      </c>
      <c r="C27" s="415">
        <f>物资类申报表!C27</f>
        <v>0</v>
      </c>
      <c r="D27" s="415" t="str">
        <f>物资类申报表!D27</f>
        <v>只</v>
      </c>
      <c r="E27" s="415">
        <f>物资类申报表!E27</f>
        <v>10</v>
      </c>
      <c r="F27" s="415">
        <f>物资类申报表!F27</f>
        <v>0</v>
      </c>
      <c r="G27" s="415">
        <f>物资类申报表!G27</f>
        <v>10</v>
      </c>
      <c r="H27" s="415">
        <f>物资类申报表!H27</f>
        <v>0</v>
      </c>
      <c r="I27" s="422"/>
      <c r="J27" s="422"/>
      <c r="K27" s="422"/>
      <c r="L27" s="422"/>
      <c r="M27" s="422"/>
    </row>
    <row r="28" ht="24.95" customHeight="1" spans="1:13">
      <c r="A28" s="415">
        <f>物资类申报表!A28</f>
        <v>24</v>
      </c>
      <c r="B28" s="415" t="str">
        <f>物资类申报表!B28</f>
        <v>行车梁（闲置）</v>
      </c>
      <c r="C28" s="415">
        <f>物资类申报表!C28</f>
        <v>0</v>
      </c>
      <c r="D28" s="415" t="str">
        <f>物资类申报表!D28</f>
        <v>台</v>
      </c>
      <c r="E28" s="415">
        <f>物资类申报表!E28</f>
        <v>1</v>
      </c>
      <c r="F28" s="415">
        <f>物资类申报表!F28</f>
        <v>0</v>
      </c>
      <c r="G28" s="415">
        <f>物资类申报表!G28</f>
        <v>1</v>
      </c>
      <c r="H28" s="415">
        <f>物资类申报表!H28</f>
        <v>0</v>
      </c>
      <c r="I28" s="422"/>
      <c r="J28" s="422"/>
      <c r="K28" s="422"/>
      <c r="L28" s="422"/>
      <c r="M28" s="422"/>
    </row>
    <row r="29" ht="24.95" customHeight="1" spans="1:13">
      <c r="A29" s="415">
        <f>物资类申报表!A29</f>
        <v>25</v>
      </c>
      <c r="B29" s="415" t="str">
        <f>物资类申报表!B29</f>
        <v>电缆线（闲置）</v>
      </c>
      <c r="C29" s="415">
        <f>物资类申报表!C29</f>
        <v>0</v>
      </c>
      <c r="D29" s="415" t="str">
        <f>物资类申报表!D29</f>
        <v>吨</v>
      </c>
      <c r="E29" s="415">
        <f>物资类申报表!E29</f>
        <v>2</v>
      </c>
      <c r="F29" s="415">
        <f>物资类申报表!F29</f>
        <v>0</v>
      </c>
      <c r="G29" s="415">
        <f>物资类申报表!G29</f>
        <v>2</v>
      </c>
      <c r="H29" s="415">
        <f>物资类申报表!H29</f>
        <v>2</v>
      </c>
      <c r="I29" s="422"/>
      <c r="J29" s="422"/>
      <c r="K29" s="422"/>
      <c r="L29" s="422"/>
      <c r="M29" s="422"/>
    </row>
    <row r="30" ht="24.95" customHeight="1" spans="1:13">
      <c r="A30" s="415">
        <f>物资类申报表!A30</f>
        <v>26</v>
      </c>
      <c r="B30" s="415" t="str">
        <f>物资类申报表!B30</f>
        <v>台式电脑</v>
      </c>
      <c r="C30" s="415">
        <f>物资类申报表!C30</f>
        <v>0</v>
      </c>
      <c r="D30" s="415" t="str">
        <f>物资类申报表!D30</f>
        <v>只</v>
      </c>
      <c r="E30" s="415">
        <f>物资类申报表!E30</f>
        <v>3</v>
      </c>
      <c r="F30" s="415">
        <f>物资类申报表!F30</f>
        <v>0</v>
      </c>
      <c r="G30" s="415">
        <f>物资类申报表!G30</f>
        <v>3</v>
      </c>
      <c r="H30" s="415">
        <f>物资类申报表!H30</f>
        <v>0</v>
      </c>
      <c r="I30" s="422"/>
      <c r="J30" s="422"/>
      <c r="K30" s="422"/>
      <c r="L30" s="422"/>
      <c r="M30" s="422"/>
    </row>
    <row r="31" ht="24.95" customHeight="1" spans="1:13">
      <c r="A31" s="415">
        <f>物资类申报表!A31</f>
        <v>27</v>
      </c>
      <c r="B31" s="415" t="str">
        <f>物资类申报表!B31</f>
        <v>笔记本电脑</v>
      </c>
      <c r="C31" s="415">
        <f>物资类申报表!C31</f>
        <v>0</v>
      </c>
      <c r="D31" s="415" t="str">
        <f>物资类申报表!D31</f>
        <v>只</v>
      </c>
      <c r="E31" s="415">
        <f>物资类申报表!E31</f>
        <v>1</v>
      </c>
      <c r="F31" s="415">
        <f>物资类申报表!F31</f>
        <v>0</v>
      </c>
      <c r="G31" s="415">
        <f>物资类申报表!G31</f>
        <v>1</v>
      </c>
      <c r="H31" s="415">
        <f>物资类申报表!H31</f>
        <v>0</v>
      </c>
      <c r="I31" s="422"/>
      <c r="J31" s="422"/>
      <c r="K31" s="422"/>
      <c r="L31" s="422"/>
      <c r="M31" s="422"/>
    </row>
    <row r="32" ht="24.95" customHeight="1" spans="1:13">
      <c r="A32" s="415">
        <f>物资类申报表!A32</f>
        <v>28</v>
      </c>
      <c r="B32" s="415" t="str">
        <f>物资类申报表!B32</f>
        <v>打印机</v>
      </c>
      <c r="C32" s="415">
        <f>物资类申报表!C32</f>
        <v>0</v>
      </c>
      <c r="D32" s="415" t="str">
        <f>物资类申报表!D32</f>
        <v>只</v>
      </c>
      <c r="E32" s="415">
        <f>物资类申报表!E32</f>
        <v>5</v>
      </c>
      <c r="F32" s="415">
        <f>物资类申报表!F32</f>
        <v>0</v>
      </c>
      <c r="G32" s="415">
        <f>物资类申报表!G32</f>
        <v>5</v>
      </c>
      <c r="H32" s="415">
        <f>物资类申报表!H32</f>
        <v>0</v>
      </c>
      <c r="I32" s="422"/>
      <c r="J32" s="422"/>
      <c r="K32" s="422"/>
      <c r="L32" s="422"/>
      <c r="M32" s="422"/>
    </row>
    <row r="33" ht="24.95" customHeight="1" spans="1:13">
      <c r="A33" s="415">
        <f>物资类申报表!A33</f>
        <v>29</v>
      </c>
      <c r="B33" s="415" t="str">
        <f>物资类申报表!B33</f>
        <v>钢板</v>
      </c>
      <c r="C33" s="415">
        <f>物资类申报表!C33</f>
        <v>0</v>
      </c>
      <c r="D33" s="415" t="str">
        <f>物资类申报表!D33</f>
        <v>吨</v>
      </c>
      <c r="E33" s="415">
        <f>物资类申报表!E33</f>
        <v>8</v>
      </c>
      <c r="F33" s="415">
        <f>物资类申报表!F33</f>
        <v>0</v>
      </c>
      <c r="G33" s="415">
        <f>物资类申报表!G33</f>
        <v>8</v>
      </c>
      <c r="H33" s="415">
        <f>物资类申报表!H33</f>
        <v>0</v>
      </c>
      <c r="I33" s="422"/>
      <c r="J33" s="422"/>
      <c r="K33" s="422"/>
      <c r="L33" s="422"/>
      <c r="M33" s="422"/>
    </row>
    <row r="34" ht="24.95" customHeight="1" spans="1:13">
      <c r="A34" s="415">
        <f>物资类申报表!A34</f>
        <v>0</v>
      </c>
      <c r="B34" s="415">
        <f>物资类申报表!B34</f>
        <v>0</v>
      </c>
      <c r="C34" s="415">
        <f>物资类申报表!C34</f>
        <v>0</v>
      </c>
      <c r="D34" s="415">
        <f>物资类申报表!D34</f>
        <v>0</v>
      </c>
      <c r="E34" s="415">
        <f>物资类申报表!E34</f>
        <v>0</v>
      </c>
      <c r="F34" s="415">
        <f>物资类申报表!F34</f>
        <v>0</v>
      </c>
      <c r="G34" s="415">
        <f>物资类申报表!G34</f>
        <v>0</v>
      </c>
      <c r="H34" s="415">
        <f>物资类申报表!H34</f>
        <v>0</v>
      </c>
      <c r="I34" s="422"/>
      <c r="J34" s="422"/>
      <c r="K34" s="422"/>
      <c r="L34" s="422"/>
      <c r="M34" s="422"/>
    </row>
    <row r="35" ht="24.95" customHeight="1" spans="1:13">
      <c r="A35" s="415">
        <f>物资类申报表!A35</f>
        <v>0</v>
      </c>
      <c r="B35" s="415">
        <f>物资类申报表!B35</f>
        <v>0</v>
      </c>
      <c r="C35" s="415">
        <f>物资类申报表!C35</f>
        <v>0</v>
      </c>
      <c r="D35" s="415">
        <f>物资类申报表!D35</f>
        <v>0</v>
      </c>
      <c r="E35" s="415">
        <f>物资类申报表!E35</f>
        <v>0</v>
      </c>
      <c r="F35" s="415">
        <f>物资类申报表!F35</f>
        <v>0</v>
      </c>
      <c r="G35" s="415">
        <f>物资类申报表!G35</f>
        <v>0</v>
      </c>
      <c r="H35" s="415">
        <f>物资类申报表!H35</f>
        <v>0</v>
      </c>
      <c r="I35" s="422"/>
      <c r="J35" s="422"/>
      <c r="K35" s="422"/>
      <c r="L35" s="422"/>
      <c r="M35" s="422"/>
    </row>
    <row r="36" ht="24.95" customHeight="1" spans="1:13">
      <c r="A36" s="415">
        <f>物资类申报表!A36</f>
        <v>0</v>
      </c>
      <c r="B36" s="415">
        <f>物资类申报表!B36</f>
        <v>0</v>
      </c>
      <c r="C36" s="415">
        <f>物资类申报表!C36</f>
        <v>0</v>
      </c>
      <c r="D36" s="415">
        <f>物资类申报表!D36</f>
        <v>0</v>
      </c>
      <c r="E36" s="415">
        <f>物资类申报表!E36</f>
        <v>0</v>
      </c>
      <c r="F36" s="415">
        <f>物资类申报表!F36</f>
        <v>0</v>
      </c>
      <c r="G36" s="415">
        <f>物资类申报表!G36</f>
        <v>0</v>
      </c>
      <c r="H36" s="415">
        <f>物资类申报表!H36</f>
        <v>0</v>
      </c>
      <c r="I36" s="422"/>
      <c r="J36" s="422"/>
      <c r="K36" s="422"/>
      <c r="L36" s="422"/>
      <c r="M36" s="422"/>
    </row>
    <row r="37" ht="24.95" customHeight="1" spans="1:13">
      <c r="A37" s="415">
        <f>物资类申报表!A37</f>
        <v>0</v>
      </c>
      <c r="B37" s="415">
        <f>物资类申报表!B37</f>
        <v>0</v>
      </c>
      <c r="C37" s="415">
        <f>物资类申报表!C37</f>
        <v>0</v>
      </c>
      <c r="D37" s="415">
        <f>物资类申报表!D37</f>
        <v>0</v>
      </c>
      <c r="E37" s="415">
        <f>物资类申报表!E37</f>
        <v>0</v>
      </c>
      <c r="F37" s="415">
        <f>物资类申报表!F37</f>
        <v>0</v>
      </c>
      <c r="G37" s="415">
        <f>物资类申报表!G37</f>
        <v>0</v>
      </c>
      <c r="H37" s="415">
        <f>物资类申报表!H37</f>
        <v>0</v>
      </c>
      <c r="I37" s="422"/>
      <c r="J37" s="422"/>
      <c r="K37" s="422"/>
      <c r="L37" s="422"/>
      <c r="M37" s="422"/>
    </row>
    <row r="38" ht="24.95" customHeight="1" spans="1:13">
      <c r="A38" s="415">
        <f>物资类申报表!A38</f>
        <v>0</v>
      </c>
      <c r="B38" s="415">
        <f>物资类申报表!B38</f>
        <v>0</v>
      </c>
      <c r="C38" s="415">
        <f>物资类申报表!C38</f>
        <v>0</v>
      </c>
      <c r="D38" s="415">
        <f>物资类申报表!D38</f>
        <v>0</v>
      </c>
      <c r="E38" s="415">
        <f>物资类申报表!E38</f>
        <v>0</v>
      </c>
      <c r="F38" s="415">
        <f>物资类申报表!F38</f>
        <v>0</v>
      </c>
      <c r="G38" s="415">
        <f>物资类申报表!G38</f>
        <v>0</v>
      </c>
      <c r="H38" s="415">
        <f>物资类申报表!H38</f>
        <v>0</v>
      </c>
      <c r="I38" s="422"/>
      <c r="J38" s="422"/>
      <c r="K38" s="422"/>
      <c r="L38" s="422"/>
      <c r="M38" s="422"/>
    </row>
    <row r="39" ht="24.95" customHeight="1" spans="1:13">
      <c r="A39" s="415">
        <f>物资类申报表!A39</f>
        <v>0</v>
      </c>
      <c r="B39" s="415">
        <f>物资类申报表!B39</f>
        <v>0</v>
      </c>
      <c r="C39" s="415">
        <f>物资类申报表!C39</f>
        <v>0</v>
      </c>
      <c r="D39" s="415">
        <f>物资类申报表!D39</f>
        <v>0</v>
      </c>
      <c r="E39" s="415">
        <f>物资类申报表!E39</f>
        <v>0</v>
      </c>
      <c r="F39" s="415">
        <f>物资类申报表!F39</f>
        <v>0</v>
      </c>
      <c r="G39" s="415">
        <f>物资类申报表!G39</f>
        <v>0</v>
      </c>
      <c r="H39" s="415">
        <f>物资类申报表!H39</f>
        <v>0</v>
      </c>
      <c r="I39" s="422"/>
      <c r="J39" s="422"/>
      <c r="K39" s="422"/>
      <c r="L39" s="422"/>
      <c r="M39" s="422"/>
    </row>
    <row r="40" ht="24.95" customHeight="1" spans="1:13">
      <c r="A40" s="415"/>
      <c r="B40" s="415"/>
      <c r="C40" s="415"/>
      <c r="D40" s="415"/>
      <c r="E40" s="415"/>
      <c r="F40" s="415"/>
      <c r="G40" s="415"/>
      <c r="H40" s="415"/>
      <c r="I40" s="422"/>
      <c r="J40" s="422"/>
      <c r="K40" s="422"/>
      <c r="L40" s="422"/>
      <c r="M40" s="422"/>
    </row>
    <row r="41" ht="24.95" customHeight="1" spans="1:13">
      <c r="A41" s="415">
        <f>物资类申报表!A41</f>
        <v>0</v>
      </c>
      <c r="B41" s="415">
        <f>物资类申报表!B41</f>
        <v>0</v>
      </c>
      <c r="C41" s="415">
        <f>物资类申报表!C41</f>
        <v>0</v>
      </c>
      <c r="D41" s="415">
        <f>物资类申报表!D41</f>
        <v>0</v>
      </c>
      <c r="E41" s="415">
        <f>物资类申报表!E41</f>
        <v>0</v>
      </c>
      <c r="F41" s="415">
        <f>物资类申报表!F41</f>
        <v>0</v>
      </c>
      <c r="G41" s="415">
        <f>物资类申报表!G41</f>
        <v>0</v>
      </c>
      <c r="H41" s="415">
        <f>物资类申报表!H41</f>
        <v>0</v>
      </c>
      <c r="I41" s="422"/>
      <c r="J41" s="422"/>
      <c r="K41" s="422"/>
      <c r="L41" s="422"/>
      <c r="M41" s="422"/>
    </row>
    <row r="42" ht="24.95" customHeight="1" spans="1:13">
      <c r="A42" s="415" t="str">
        <f>物资类申报表!A42</f>
        <v>合计</v>
      </c>
      <c r="B42" s="415">
        <f>物资类申报表!B42</f>
        <v>0</v>
      </c>
      <c r="C42" s="415">
        <f>物资类申报表!C42</f>
        <v>0</v>
      </c>
      <c r="D42" s="415">
        <f>物资类申报表!D42</f>
        <v>0</v>
      </c>
      <c r="E42" s="415">
        <f>物资类申报表!E42</f>
        <v>0</v>
      </c>
      <c r="F42" s="415">
        <f>物资类申报表!F42</f>
        <v>0</v>
      </c>
      <c r="G42" s="415">
        <f>物资类申报表!G42</f>
        <v>0</v>
      </c>
      <c r="H42" s="415">
        <f>物资类申报表!H42</f>
        <v>0</v>
      </c>
      <c r="I42" s="422"/>
      <c r="J42" s="422"/>
      <c r="K42" s="422"/>
      <c r="L42" s="422"/>
      <c r="M42" s="422"/>
    </row>
    <row r="43" ht="24.95" customHeight="1" spans="1:13">
      <c r="A43" s="416"/>
      <c r="B43" s="417"/>
      <c r="C43" s="417"/>
      <c r="D43" s="417"/>
      <c r="E43" s="417"/>
      <c r="F43" s="417"/>
      <c r="G43" s="417"/>
      <c r="H43" s="417"/>
      <c r="I43" s="417"/>
      <c r="J43" s="417"/>
      <c r="K43" s="417"/>
      <c r="L43" s="417"/>
      <c r="M43" s="417"/>
    </row>
    <row r="44" ht="23.25" customHeight="1" spans="1:7">
      <c r="A44" s="399" t="str">
        <f>"申报人签字："&amp;设定!C3</f>
        <v>申报人签字：江阴市金捷利制管有限公司</v>
      </c>
      <c r="G44" s="400" t="s">
        <v>208</v>
      </c>
    </row>
    <row r="45" ht="21.75" customHeight="1" spans="1:7">
      <c r="A45" s="399" t="str">
        <f>设备类申报表!A85</f>
        <v>申报日期：2017-8-14</v>
      </c>
      <c r="G45" s="400" t="s">
        <v>209</v>
      </c>
    </row>
  </sheetData>
  <mergeCells count="13">
    <mergeCell ref="A1:M1"/>
    <mergeCell ref="D2:J2"/>
    <mergeCell ref="J3:L3"/>
    <mergeCell ref="A3:A4"/>
    <mergeCell ref="B3:B4"/>
    <mergeCell ref="C3:C4"/>
    <mergeCell ref="D3:D4"/>
    <mergeCell ref="E3:E4"/>
    <mergeCell ref="F3:F4"/>
    <mergeCell ref="G3:G4"/>
    <mergeCell ref="H3:H4"/>
    <mergeCell ref="I3:I4"/>
    <mergeCell ref="M3:M4"/>
  </mergeCells>
  <printOptions horizontalCentered="1"/>
  <pageMargins left="0.354166666666667" right="0.354166666666667" top="0.786805555555556" bottom="0.590277777777778" header="0.511805555555556" footer="0.511805555555556"/>
  <pageSetup paperSize="9" orientation="landscape" horizontalDpi="6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P81"/>
  <sheetViews>
    <sheetView workbookViewId="0">
      <pane ySplit="4" topLeftCell="A5" activePane="bottomLeft" state="frozen"/>
      <selection/>
      <selection pane="bottomLeft" activeCell="G18" sqref="G18"/>
    </sheetView>
  </sheetViews>
  <sheetFormatPr defaultColWidth="9" defaultRowHeight="14.25"/>
  <cols>
    <col min="1" max="1" width="5.125" style="398" customWidth="1"/>
    <col min="2" max="3" width="15.375" style="399" customWidth="1"/>
    <col min="4" max="4" width="16.875" style="399" customWidth="1"/>
    <col min="5" max="5" width="11.375" style="400" customWidth="1"/>
    <col min="6" max="6" width="6" style="400" customWidth="1"/>
    <col min="7" max="7" width="5.5" style="400" customWidth="1"/>
    <col min="8" max="8" width="8.75" style="400" customWidth="1"/>
    <col min="9" max="9" width="8.875" style="400" customWidth="1"/>
    <col min="10" max="10" width="10.625" style="400" customWidth="1"/>
    <col min="11" max="11" width="6.125" style="400" customWidth="1"/>
    <col min="12" max="12" width="5.5" style="400" customWidth="1"/>
    <col min="13" max="13" width="6.625" style="400" customWidth="1"/>
    <col min="14" max="14" width="8.375" style="400" customWidth="1"/>
    <col min="15" max="15" width="7.75" style="400" customWidth="1"/>
    <col min="16" max="16" width="10.75" style="400" customWidth="1"/>
    <col min="17" max="257" width="8.875" style="400"/>
    <col min="258" max="258" width="5.125" style="400" customWidth="1"/>
    <col min="259" max="259" width="22.875" style="400" customWidth="1"/>
    <col min="260" max="260" width="22.75" style="400" customWidth="1"/>
    <col min="261" max="261" width="19.125" style="400" customWidth="1"/>
    <col min="262" max="262" width="8.5" style="400" customWidth="1"/>
    <col min="263" max="263" width="8" style="400" customWidth="1"/>
    <col min="264" max="264" width="5.5" style="400" customWidth="1"/>
    <col min="265" max="265" width="8.75" style="400" customWidth="1"/>
    <col min="266" max="266" width="17.625" style="400" customWidth="1"/>
    <col min="267" max="267" width="7.25" style="400" customWidth="1"/>
    <col min="268" max="268" width="5.5" style="400" customWidth="1"/>
    <col min="269" max="269" width="6.625" style="400" customWidth="1"/>
    <col min="270" max="270" width="8.375" style="400" customWidth="1"/>
    <col min="271" max="271" width="7.75" style="400" customWidth="1"/>
    <col min="272" max="272" width="13.875" style="400" customWidth="1"/>
    <col min="273" max="513" width="8.875" style="400"/>
    <col min="514" max="514" width="5.125" style="400" customWidth="1"/>
    <col min="515" max="515" width="22.875" style="400" customWidth="1"/>
    <col min="516" max="516" width="22.75" style="400" customWidth="1"/>
    <col min="517" max="517" width="19.125" style="400" customWidth="1"/>
    <col min="518" max="518" width="8.5" style="400" customWidth="1"/>
    <col min="519" max="519" width="8" style="400" customWidth="1"/>
    <col min="520" max="520" width="5.5" style="400" customWidth="1"/>
    <col min="521" max="521" width="8.75" style="400" customWidth="1"/>
    <col min="522" max="522" width="17.625" style="400" customWidth="1"/>
    <col min="523" max="523" width="7.25" style="400" customWidth="1"/>
    <col min="524" max="524" width="5.5" style="400" customWidth="1"/>
    <col min="525" max="525" width="6.625" style="400" customWidth="1"/>
    <col min="526" max="526" width="8.375" style="400" customWidth="1"/>
    <col min="527" max="527" width="7.75" style="400" customWidth="1"/>
    <col min="528" max="528" width="13.875" style="400" customWidth="1"/>
    <col min="529" max="769" width="8.875" style="400"/>
    <col min="770" max="770" width="5.125" style="400" customWidth="1"/>
    <col min="771" max="771" width="22.875" style="400" customWidth="1"/>
    <col min="772" max="772" width="22.75" style="400" customWidth="1"/>
    <col min="773" max="773" width="19.125" style="400" customWidth="1"/>
    <col min="774" max="774" width="8.5" style="400" customWidth="1"/>
    <col min="775" max="775" width="8" style="400" customWidth="1"/>
    <col min="776" max="776" width="5.5" style="400" customWidth="1"/>
    <col min="777" max="777" width="8.75" style="400" customWidth="1"/>
    <col min="778" max="778" width="17.625" style="400" customWidth="1"/>
    <col min="779" max="779" width="7.25" style="400" customWidth="1"/>
    <col min="780" max="780" width="5.5" style="400" customWidth="1"/>
    <col min="781" max="781" width="6.625" style="400" customWidth="1"/>
    <col min="782" max="782" width="8.375" style="400" customWidth="1"/>
    <col min="783" max="783" width="7.75" style="400" customWidth="1"/>
    <col min="784" max="784" width="13.875" style="400" customWidth="1"/>
    <col min="785" max="1025" width="8.875" style="400"/>
    <col min="1026" max="1026" width="5.125" style="400" customWidth="1"/>
    <col min="1027" max="1027" width="22.875" style="400" customWidth="1"/>
    <col min="1028" max="1028" width="22.75" style="400" customWidth="1"/>
    <col min="1029" max="1029" width="19.125" style="400" customWidth="1"/>
    <col min="1030" max="1030" width="8.5" style="400" customWidth="1"/>
    <col min="1031" max="1031" width="8" style="400" customWidth="1"/>
    <col min="1032" max="1032" width="5.5" style="400" customWidth="1"/>
    <col min="1033" max="1033" width="8.75" style="400" customWidth="1"/>
    <col min="1034" max="1034" width="17.625" style="400" customWidth="1"/>
    <col min="1035" max="1035" width="7.25" style="400" customWidth="1"/>
    <col min="1036" max="1036" width="5.5" style="400" customWidth="1"/>
    <col min="1037" max="1037" width="6.625" style="400" customWidth="1"/>
    <col min="1038" max="1038" width="8.375" style="400" customWidth="1"/>
    <col min="1039" max="1039" width="7.75" style="400" customWidth="1"/>
    <col min="1040" max="1040" width="13.875" style="400" customWidth="1"/>
    <col min="1041" max="1281" width="8.875" style="400"/>
    <col min="1282" max="1282" width="5.125" style="400" customWidth="1"/>
    <col min="1283" max="1283" width="22.875" style="400" customWidth="1"/>
    <col min="1284" max="1284" width="22.75" style="400" customWidth="1"/>
    <col min="1285" max="1285" width="19.125" style="400" customWidth="1"/>
    <col min="1286" max="1286" width="8.5" style="400" customWidth="1"/>
    <col min="1287" max="1287" width="8" style="400" customWidth="1"/>
    <col min="1288" max="1288" width="5.5" style="400" customWidth="1"/>
    <col min="1289" max="1289" width="8.75" style="400" customWidth="1"/>
    <col min="1290" max="1290" width="17.625" style="400" customWidth="1"/>
    <col min="1291" max="1291" width="7.25" style="400" customWidth="1"/>
    <col min="1292" max="1292" width="5.5" style="400" customWidth="1"/>
    <col min="1293" max="1293" width="6.625" style="400" customWidth="1"/>
    <col min="1294" max="1294" width="8.375" style="400" customWidth="1"/>
    <col min="1295" max="1295" width="7.75" style="400" customWidth="1"/>
    <col min="1296" max="1296" width="13.875" style="400" customWidth="1"/>
    <col min="1297" max="1537" width="8.875" style="400"/>
    <col min="1538" max="1538" width="5.125" style="400" customWidth="1"/>
    <col min="1539" max="1539" width="22.875" style="400" customWidth="1"/>
    <col min="1540" max="1540" width="22.75" style="400" customWidth="1"/>
    <col min="1541" max="1541" width="19.125" style="400" customWidth="1"/>
    <col min="1542" max="1542" width="8.5" style="400" customWidth="1"/>
    <col min="1543" max="1543" width="8" style="400" customWidth="1"/>
    <col min="1544" max="1544" width="5.5" style="400" customWidth="1"/>
    <col min="1545" max="1545" width="8.75" style="400" customWidth="1"/>
    <col min="1546" max="1546" width="17.625" style="400" customWidth="1"/>
    <col min="1547" max="1547" width="7.25" style="400" customWidth="1"/>
    <col min="1548" max="1548" width="5.5" style="400" customWidth="1"/>
    <col min="1549" max="1549" width="6.625" style="400" customWidth="1"/>
    <col min="1550" max="1550" width="8.375" style="400" customWidth="1"/>
    <col min="1551" max="1551" width="7.75" style="400" customWidth="1"/>
    <col min="1552" max="1552" width="13.875" style="400" customWidth="1"/>
    <col min="1553" max="1793" width="8.875" style="400"/>
    <col min="1794" max="1794" width="5.125" style="400" customWidth="1"/>
    <col min="1795" max="1795" width="22.875" style="400" customWidth="1"/>
    <col min="1796" max="1796" width="22.75" style="400" customWidth="1"/>
    <col min="1797" max="1797" width="19.125" style="400" customWidth="1"/>
    <col min="1798" max="1798" width="8.5" style="400" customWidth="1"/>
    <col min="1799" max="1799" width="8" style="400" customWidth="1"/>
    <col min="1800" max="1800" width="5.5" style="400" customWidth="1"/>
    <col min="1801" max="1801" width="8.75" style="400" customWidth="1"/>
    <col min="1802" max="1802" width="17.625" style="400" customWidth="1"/>
    <col min="1803" max="1803" width="7.25" style="400" customWidth="1"/>
    <col min="1804" max="1804" width="5.5" style="400" customWidth="1"/>
    <col min="1805" max="1805" width="6.625" style="400" customWidth="1"/>
    <col min="1806" max="1806" width="8.375" style="400" customWidth="1"/>
    <col min="1807" max="1807" width="7.75" style="400" customWidth="1"/>
    <col min="1808" max="1808" width="13.875" style="400" customWidth="1"/>
    <col min="1809" max="2049" width="8.875" style="400"/>
    <col min="2050" max="2050" width="5.125" style="400" customWidth="1"/>
    <col min="2051" max="2051" width="22.875" style="400" customWidth="1"/>
    <col min="2052" max="2052" width="22.75" style="400" customWidth="1"/>
    <col min="2053" max="2053" width="19.125" style="400" customWidth="1"/>
    <col min="2054" max="2054" width="8.5" style="400" customWidth="1"/>
    <col min="2055" max="2055" width="8" style="400" customWidth="1"/>
    <col min="2056" max="2056" width="5.5" style="400" customWidth="1"/>
    <col min="2057" max="2057" width="8.75" style="400" customWidth="1"/>
    <col min="2058" max="2058" width="17.625" style="400" customWidth="1"/>
    <col min="2059" max="2059" width="7.25" style="400" customWidth="1"/>
    <col min="2060" max="2060" width="5.5" style="400" customWidth="1"/>
    <col min="2061" max="2061" width="6.625" style="400" customWidth="1"/>
    <col min="2062" max="2062" width="8.375" style="400" customWidth="1"/>
    <col min="2063" max="2063" width="7.75" style="400" customWidth="1"/>
    <col min="2064" max="2064" width="13.875" style="400" customWidth="1"/>
    <col min="2065" max="2305" width="8.875" style="400"/>
    <col min="2306" max="2306" width="5.125" style="400" customWidth="1"/>
    <col min="2307" max="2307" width="22.875" style="400" customWidth="1"/>
    <col min="2308" max="2308" width="22.75" style="400" customWidth="1"/>
    <col min="2309" max="2309" width="19.125" style="400" customWidth="1"/>
    <col min="2310" max="2310" width="8.5" style="400" customWidth="1"/>
    <col min="2311" max="2311" width="8" style="400" customWidth="1"/>
    <col min="2312" max="2312" width="5.5" style="400" customWidth="1"/>
    <col min="2313" max="2313" width="8.75" style="400" customWidth="1"/>
    <col min="2314" max="2314" width="17.625" style="400" customWidth="1"/>
    <col min="2315" max="2315" width="7.25" style="400" customWidth="1"/>
    <col min="2316" max="2316" width="5.5" style="400" customWidth="1"/>
    <col min="2317" max="2317" width="6.625" style="400" customWidth="1"/>
    <col min="2318" max="2318" width="8.375" style="400" customWidth="1"/>
    <col min="2319" max="2319" width="7.75" style="400" customWidth="1"/>
    <col min="2320" max="2320" width="13.875" style="400" customWidth="1"/>
    <col min="2321" max="2561" width="8.875" style="400"/>
    <col min="2562" max="2562" width="5.125" style="400" customWidth="1"/>
    <col min="2563" max="2563" width="22.875" style="400" customWidth="1"/>
    <col min="2564" max="2564" width="22.75" style="400" customWidth="1"/>
    <col min="2565" max="2565" width="19.125" style="400" customWidth="1"/>
    <col min="2566" max="2566" width="8.5" style="400" customWidth="1"/>
    <col min="2567" max="2567" width="8" style="400" customWidth="1"/>
    <col min="2568" max="2568" width="5.5" style="400" customWidth="1"/>
    <col min="2569" max="2569" width="8.75" style="400" customWidth="1"/>
    <col min="2570" max="2570" width="17.625" style="400" customWidth="1"/>
    <col min="2571" max="2571" width="7.25" style="400" customWidth="1"/>
    <col min="2572" max="2572" width="5.5" style="400" customWidth="1"/>
    <col min="2573" max="2573" width="6.625" style="400" customWidth="1"/>
    <col min="2574" max="2574" width="8.375" style="400" customWidth="1"/>
    <col min="2575" max="2575" width="7.75" style="400" customWidth="1"/>
    <col min="2576" max="2576" width="13.875" style="400" customWidth="1"/>
    <col min="2577" max="2817" width="8.875" style="400"/>
    <col min="2818" max="2818" width="5.125" style="400" customWidth="1"/>
    <col min="2819" max="2819" width="22.875" style="400" customWidth="1"/>
    <col min="2820" max="2820" width="22.75" style="400" customWidth="1"/>
    <col min="2821" max="2821" width="19.125" style="400" customWidth="1"/>
    <col min="2822" max="2822" width="8.5" style="400" customWidth="1"/>
    <col min="2823" max="2823" width="8" style="400" customWidth="1"/>
    <col min="2824" max="2824" width="5.5" style="400" customWidth="1"/>
    <col min="2825" max="2825" width="8.75" style="400" customWidth="1"/>
    <col min="2826" max="2826" width="17.625" style="400" customWidth="1"/>
    <col min="2827" max="2827" width="7.25" style="400" customWidth="1"/>
    <col min="2828" max="2828" width="5.5" style="400" customWidth="1"/>
    <col min="2829" max="2829" width="6.625" style="400" customWidth="1"/>
    <col min="2830" max="2830" width="8.375" style="400" customWidth="1"/>
    <col min="2831" max="2831" width="7.75" style="400" customWidth="1"/>
    <col min="2832" max="2832" width="13.875" style="400" customWidth="1"/>
    <col min="2833" max="3073" width="8.875" style="400"/>
    <col min="3074" max="3074" width="5.125" style="400" customWidth="1"/>
    <col min="3075" max="3075" width="22.875" style="400" customWidth="1"/>
    <col min="3076" max="3076" width="22.75" style="400" customWidth="1"/>
    <col min="3077" max="3077" width="19.125" style="400" customWidth="1"/>
    <col min="3078" max="3078" width="8.5" style="400" customWidth="1"/>
    <col min="3079" max="3079" width="8" style="400" customWidth="1"/>
    <col min="3080" max="3080" width="5.5" style="400" customWidth="1"/>
    <col min="3081" max="3081" width="8.75" style="400" customWidth="1"/>
    <col min="3082" max="3082" width="17.625" style="400" customWidth="1"/>
    <col min="3083" max="3083" width="7.25" style="400" customWidth="1"/>
    <col min="3084" max="3084" width="5.5" style="400" customWidth="1"/>
    <col min="3085" max="3085" width="6.625" style="400" customWidth="1"/>
    <col min="3086" max="3086" width="8.375" style="400" customWidth="1"/>
    <col min="3087" max="3087" width="7.75" style="400" customWidth="1"/>
    <col min="3088" max="3088" width="13.875" style="400" customWidth="1"/>
    <col min="3089" max="3329" width="8.875" style="400"/>
    <col min="3330" max="3330" width="5.125" style="400" customWidth="1"/>
    <col min="3331" max="3331" width="22.875" style="400" customWidth="1"/>
    <col min="3332" max="3332" width="22.75" style="400" customWidth="1"/>
    <col min="3333" max="3333" width="19.125" style="400" customWidth="1"/>
    <col min="3334" max="3334" width="8.5" style="400" customWidth="1"/>
    <col min="3335" max="3335" width="8" style="400" customWidth="1"/>
    <col min="3336" max="3336" width="5.5" style="400" customWidth="1"/>
    <col min="3337" max="3337" width="8.75" style="400" customWidth="1"/>
    <col min="3338" max="3338" width="17.625" style="400" customWidth="1"/>
    <col min="3339" max="3339" width="7.25" style="400" customWidth="1"/>
    <col min="3340" max="3340" width="5.5" style="400" customWidth="1"/>
    <col min="3341" max="3341" width="6.625" style="400" customWidth="1"/>
    <col min="3342" max="3342" width="8.375" style="400" customWidth="1"/>
    <col min="3343" max="3343" width="7.75" style="400" customWidth="1"/>
    <col min="3344" max="3344" width="13.875" style="400" customWidth="1"/>
    <col min="3345" max="3585" width="8.875" style="400"/>
    <col min="3586" max="3586" width="5.125" style="400" customWidth="1"/>
    <col min="3587" max="3587" width="22.875" style="400" customWidth="1"/>
    <col min="3588" max="3588" width="22.75" style="400" customWidth="1"/>
    <col min="3589" max="3589" width="19.125" style="400" customWidth="1"/>
    <col min="3590" max="3590" width="8.5" style="400" customWidth="1"/>
    <col min="3591" max="3591" width="8" style="400" customWidth="1"/>
    <col min="3592" max="3592" width="5.5" style="400" customWidth="1"/>
    <col min="3593" max="3593" width="8.75" style="400" customWidth="1"/>
    <col min="3594" max="3594" width="17.625" style="400" customWidth="1"/>
    <col min="3595" max="3595" width="7.25" style="400" customWidth="1"/>
    <col min="3596" max="3596" width="5.5" style="400" customWidth="1"/>
    <col min="3597" max="3597" width="6.625" style="400" customWidth="1"/>
    <col min="3598" max="3598" width="8.375" style="400" customWidth="1"/>
    <col min="3599" max="3599" width="7.75" style="400" customWidth="1"/>
    <col min="3600" max="3600" width="13.875" style="400" customWidth="1"/>
    <col min="3601" max="3841" width="8.875" style="400"/>
    <col min="3842" max="3842" width="5.125" style="400" customWidth="1"/>
    <col min="3843" max="3843" width="22.875" style="400" customWidth="1"/>
    <col min="3844" max="3844" width="22.75" style="400" customWidth="1"/>
    <col min="3845" max="3845" width="19.125" style="400" customWidth="1"/>
    <col min="3846" max="3846" width="8.5" style="400" customWidth="1"/>
    <col min="3847" max="3847" width="8" style="400" customWidth="1"/>
    <col min="3848" max="3848" width="5.5" style="400" customWidth="1"/>
    <col min="3849" max="3849" width="8.75" style="400" customWidth="1"/>
    <col min="3850" max="3850" width="17.625" style="400" customWidth="1"/>
    <col min="3851" max="3851" width="7.25" style="400" customWidth="1"/>
    <col min="3852" max="3852" width="5.5" style="400" customWidth="1"/>
    <col min="3853" max="3853" width="6.625" style="400" customWidth="1"/>
    <col min="3854" max="3854" width="8.375" style="400" customWidth="1"/>
    <col min="3855" max="3855" width="7.75" style="400" customWidth="1"/>
    <col min="3856" max="3856" width="13.875" style="400" customWidth="1"/>
    <col min="3857" max="4097" width="8.875" style="400"/>
    <col min="4098" max="4098" width="5.125" style="400" customWidth="1"/>
    <col min="4099" max="4099" width="22.875" style="400" customWidth="1"/>
    <col min="4100" max="4100" width="22.75" style="400" customWidth="1"/>
    <col min="4101" max="4101" width="19.125" style="400" customWidth="1"/>
    <col min="4102" max="4102" width="8.5" style="400" customWidth="1"/>
    <col min="4103" max="4103" width="8" style="400" customWidth="1"/>
    <col min="4104" max="4104" width="5.5" style="400" customWidth="1"/>
    <col min="4105" max="4105" width="8.75" style="400" customWidth="1"/>
    <col min="4106" max="4106" width="17.625" style="400" customWidth="1"/>
    <col min="4107" max="4107" width="7.25" style="400" customWidth="1"/>
    <col min="4108" max="4108" width="5.5" style="400" customWidth="1"/>
    <col min="4109" max="4109" width="6.625" style="400" customWidth="1"/>
    <col min="4110" max="4110" width="8.375" style="400" customWidth="1"/>
    <col min="4111" max="4111" width="7.75" style="400" customWidth="1"/>
    <col min="4112" max="4112" width="13.875" style="400" customWidth="1"/>
    <col min="4113" max="4353" width="8.875" style="400"/>
    <col min="4354" max="4354" width="5.125" style="400" customWidth="1"/>
    <col min="4355" max="4355" width="22.875" style="400" customWidth="1"/>
    <col min="4356" max="4356" width="22.75" style="400" customWidth="1"/>
    <col min="4357" max="4357" width="19.125" style="400" customWidth="1"/>
    <col min="4358" max="4358" width="8.5" style="400" customWidth="1"/>
    <col min="4359" max="4359" width="8" style="400" customWidth="1"/>
    <col min="4360" max="4360" width="5.5" style="400" customWidth="1"/>
    <col min="4361" max="4361" width="8.75" style="400" customWidth="1"/>
    <col min="4362" max="4362" width="17.625" style="400" customWidth="1"/>
    <col min="4363" max="4363" width="7.25" style="400" customWidth="1"/>
    <col min="4364" max="4364" width="5.5" style="400" customWidth="1"/>
    <col min="4365" max="4365" width="6.625" style="400" customWidth="1"/>
    <col min="4366" max="4366" width="8.375" style="400" customWidth="1"/>
    <col min="4367" max="4367" width="7.75" style="400" customWidth="1"/>
    <col min="4368" max="4368" width="13.875" style="400" customWidth="1"/>
    <col min="4369" max="4609" width="8.875" style="400"/>
    <col min="4610" max="4610" width="5.125" style="400" customWidth="1"/>
    <col min="4611" max="4611" width="22.875" style="400" customWidth="1"/>
    <col min="4612" max="4612" width="22.75" style="400" customWidth="1"/>
    <col min="4613" max="4613" width="19.125" style="400" customWidth="1"/>
    <col min="4614" max="4614" width="8.5" style="400" customWidth="1"/>
    <col min="4615" max="4615" width="8" style="400" customWidth="1"/>
    <col min="4616" max="4616" width="5.5" style="400" customWidth="1"/>
    <col min="4617" max="4617" width="8.75" style="400" customWidth="1"/>
    <col min="4618" max="4618" width="17.625" style="400" customWidth="1"/>
    <col min="4619" max="4619" width="7.25" style="400" customWidth="1"/>
    <col min="4620" max="4620" width="5.5" style="400" customWidth="1"/>
    <col min="4621" max="4621" width="6.625" style="400" customWidth="1"/>
    <col min="4622" max="4622" width="8.375" style="400" customWidth="1"/>
    <col min="4623" max="4623" width="7.75" style="400" customWidth="1"/>
    <col min="4624" max="4624" width="13.875" style="400" customWidth="1"/>
    <col min="4625" max="4865" width="8.875" style="400"/>
    <col min="4866" max="4866" width="5.125" style="400" customWidth="1"/>
    <col min="4867" max="4867" width="22.875" style="400" customWidth="1"/>
    <col min="4868" max="4868" width="22.75" style="400" customWidth="1"/>
    <col min="4869" max="4869" width="19.125" style="400" customWidth="1"/>
    <col min="4870" max="4870" width="8.5" style="400" customWidth="1"/>
    <col min="4871" max="4871" width="8" style="400" customWidth="1"/>
    <col min="4872" max="4872" width="5.5" style="400" customWidth="1"/>
    <col min="4873" max="4873" width="8.75" style="400" customWidth="1"/>
    <col min="4874" max="4874" width="17.625" style="400" customWidth="1"/>
    <col min="4875" max="4875" width="7.25" style="400" customWidth="1"/>
    <col min="4876" max="4876" width="5.5" style="400" customWidth="1"/>
    <col min="4877" max="4877" width="6.625" style="400" customWidth="1"/>
    <col min="4878" max="4878" width="8.375" style="400" customWidth="1"/>
    <col min="4879" max="4879" width="7.75" style="400" customWidth="1"/>
    <col min="4880" max="4880" width="13.875" style="400" customWidth="1"/>
    <col min="4881" max="5121" width="8.875" style="400"/>
    <col min="5122" max="5122" width="5.125" style="400" customWidth="1"/>
    <col min="5123" max="5123" width="22.875" style="400" customWidth="1"/>
    <col min="5124" max="5124" width="22.75" style="400" customWidth="1"/>
    <col min="5125" max="5125" width="19.125" style="400" customWidth="1"/>
    <col min="5126" max="5126" width="8.5" style="400" customWidth="1"/>
    <col min="5127" max="5127" width="8" style="400" customWidth="1"/>
    <col min="5128" max="5128" width="5.5" style="400" customWidth="1"/>
    <col min="5129" max="5129" width="8.75" style="400" customWidth="1"/>
    <col min="5130" max="5130" width="17.625" style="400" customWidth="1"/>
    <col min="5131" max="5131" width="7.25" style="400" customWidth="1"/>
    <col min="5132" max="5132" width="5.5" style="400" customWidth="1"/>
    <col min="5133" max="5133" width="6.625" style="400" customWidth="1"/>
    <col min="5134" max="5134" width="8.375" style="400" customWidth="1"/>
    <col min="5135" max="5135" width="7.75" style="400" customWidth="1"/>
    <col min="5136" max="5136" width="13.875" style="400" customWidth="1"/>
    <col min="5137" max="5377" width="8.875" style="400"/>
    <col min="5378" max="5378" width="5.125" style="400" customWidth="1"/>
    <col min="5379" max="5379" width="22.875" style="400" customWidth="1"/>
    <col min="5380" max="5380" width="22.75" style="400" customWidth="1"/>
    <col min="5381" max="5381" width="19.125" style="400" customWidth="1"/>
    <col min="5382" max="5382" width="8.5" style="400" customWidth="1"/>
    <col min="5383" max="5383" width="8" style="400" customWidth="1"/>
    <col min="5384" max="5384" width="5.5" style="400" customWidth="1"/>
    <col min="5385" max="5385" width="8.75" style="400" customWidth="1"/>
    <col min="5386" max="5386" width="17.625" style="400" customWidth="1"/>
    <col min="5387" max="5387" width="7.25" style="400" customWidth="1"/>
    <col min="5388" max="5388" width="5.5" style="400" customWidth="1"/>
    <col min="5389" max="5389" width="6.625" style="400" customWidth="1"/>
    <col min="5390" max="5390" width="8.375" style="400" customWidth="1"/>
    <col min="5391" max="5391" width="7.75" style="400" customWidth="1"/>
    <col min="5392" max="5392" width="13.875" style="400" customWidth="1"/>
    <col min="5393" max="5633" width="8.875" style="400"/>
    <col min="5634" max="5634" width="5.125" style="400" customWidth="1"/>
    <col min="5635" max="5635" width="22.875" style="400" customWidth="1"/>
    <col min="5636" max="5636" width="22.75" style="400" customWidth="1"/>
    <col min="5637" max="5637" width="19.125" style="400" customWidth="1"/>
    <col min="5638" max="5638" width="8.5" style="400" customWidth="1"/>
    <col min="5639" max="5639" width="8" style="400" customWidth="1"/>
    <col min="5640" max="5640" width="5.5" style="400" customWidth="1"/>
    <col min="5641" max="5641" width="8.75" style="400" customWidth="1"/>
    <col min="5642" max="5642" width="17.625" style="400" customWidth="1"/>
    <col min="5643" max="5643" width="7.25" style="400" customWidth="1"/>
    <col min="5644" max="5644" width="5.5" style="400" customWidth="1"/>
    <col min="5645" max="5645" width="6.625" style="400" customWidth="1"/>
    <col min="5646" max="5646" width="8.375" style="400" customWidth="1"/>
    <col min="5647" max="5647" width="7.75" style="400" customWidth="1"/>
    <col min="5648" max="5648" width="13.875" style="400" customWidth="1"/>
    <col min="5649" max="5889" width="8.875" style="400"/>
    <col min="5890" max="5890" width="5.125" style="400" customWidth="1"/>
    <col min="5891" max="5891" width="22.875" style="400" customWidth="1"/>
    <col min="5892" max="5892" width="22.75" style="400" customWidth="1"/>
    <col min="5893" max="5893" width="19.125" style="400" customWidth="1"/>
    <col min="5894" max="5894" width="8.5" style="400" customWidth="1"/>
    <col min="5895" max="5895" width="8" style="400" customWidth="1"/>
    <col min="5896" max="5896" width="5.5" style="400" customWidth="1"/>
    <col min="5897" max="5897" width="8.75" style="400" customWidth="1"/>
    <col min="5898" max="5898" width="17.625" style="400" customWidth="1"/>
    <col min="5899" max="5899" width="7.25" style="400" customWidth="1"/>
    <col min="5900" max="5900" width="5.5" style="400" customWidth="1"/>
    <col min="5901" max="5901" width="6.625" style="400" customWidth="1"/>
    <col min="5902" max="5902" width="8.375" style="400" customWidth="1"/>
    <col min="5903" max="5903" width="7.75" style="400" customWidth="1"/>
    <col min="5904" max="5904" width="13.875" style="400" customWidth="1"/>
    <col min="5905" max="6145" width="8.875" style="400"/>
    <col min="6146" max="6146" width="5.125" style="400" customWidth="1"/>
    <col min="6147" max="6147" width="22.875" style="400" customWidth="1"/>
    <col min="6148" max="6148" width="22.75" style="400" customWidth="1"/>
    <col min="6149" max="6149" width="19.125" style="400" customWidth="1"/>
    <col min="6150" max="6150" width="8.5" style="400" customWidth="1"/>
    <col min="6151" max="6151" width="8" style="400" customWidth="1"/>
    <col min="6152" max="6152" width="5.5" style="400" customWidth="1"/>
    <col min="6153" max="6153" width="8.75" style="400" customWidth="1"/>
    <col min="6154" max="6154" width="17.625" style="400" customWidth="1"/>
    <col min="6155" max="6155" width="7.25" style="400" customWidth="1"/>
    <col min="6156" max="6156" width="5.5" style="400" customWidth="1"/>
    <col min="6157" max="6157" width="6.625" style="400" customWidth="1"/>
    <col min="6158" max="6158" width="8.375" style="400" customWidth="1"/>
    <col min="6159" max="6159" width="7.75" style="400" customWidth="1"/>
    <col min="6160" max="6160" width="13.875" style="400" customWidth="1"/>
    <col min="6161" max="6401" width="8.875" style="400"/>
    <col min="6402" max="6402" width="5.125" style="400" customWidth="1"/>
    <col min="6403" max="6403" width="22.875" style="400" customWidth="1"/>
    <col min="6404" max="6404" width="22.75" style="400" customWidth="1"/>
    <col min="6405" max="6405" width="19.125" style="400" customWidth="1"/>
    <col min="6406" max="6406" width="8.5" style="400" customWidth="1"/>
    <col min="6407" max="6407" width="8" style="400" customWidth="1"/>
    <col min="6408" max="6408" width="5.5" style="400" customWidth="1"/>
    <col min="6409" max="6409" width="8.75" style="400" customWidth="1"/>
    <col min="6410" max="6410" width="17.625" style="400" customWidth="1"/>
    <col min="6411" max="6411" width="7.25" style="400" customWidth="1"/>
    <col min="6412" max="6412" width="5.5" style="400" customWidth="1"/>
    <col min="6413" max="6413" width="6.625" style="400" customWidth="1"/>
    <col min="6414" max="6414" width="8.375" style="400" customWidth="1"/>
    <col min="6415" max="6415" width="7.75" style="400" customWidth="1"/>
    <col min="6416" max="6416" width="13.875" style="400" customWidth="1"/>
    <col min="6417" max="6657" width="8.875" style="400"/>
    <col min="6658" max="6658" width="5.125" style="400" customWidth="1"/>
    <col min="6659" max="6659" width="22.875" style="400" customWidth="1"/>
    <col min="6660" max="6660" width="22.75" style="400" customWidth="1"/>
    <col min="6661" max="6661" width="19.125" style="400" customWidth="1"/>
    <col min="6662" max="6662" width="8.5" style="400" customWidth="1"/>
    <col min="6663" max="6663" width="8" style="400" customWidth="1"/>
    <col min="6664" max="6664" width="5.5" style="400" customWidth="1"/>
    <col min="6665" max="6665" width="8.75" style="400" customWidth="1"/>
    <col min="6666" max="6666" width="17.625" style="400" customWidth="1"/>
    <col min="6667" max="6667" width="7.25" style="400" customWidth="1"/>
    <col min="6668" max="6668" width="5.5" style="400" customWidth="1"/>
    <col min="6669" max="6669" width="6.625" style="400" customWidth="1"/>
    <col min="6670" max="6670" width="8.375" style="400" customWidth="1"/>
    <col min="6671" max="6671" width="7.75" style="400" customWidth="1"/>
    <col min="6672" max="6672" width="13.875" style="400" customWidth="1"/>
    <col min="6673" max="6913" width="8.875" style="400"/>
    <col min="6914" max="6914" width="5.125" style="400" customWidth="1"/>
    <col min="6915" max="6915" width="22.875" style="400" customWidth="1"/>
    <col min="6916" max="6916" width="22.75" style="400" customWidth="1"/>
    <col min="6917" max="6917" width="19.125" style="400" customWidth="1"/>
    <col min="6918" max="6918" width="8.5" style="400" customWidth="1"/>
    <col min="6919" max="6919" width="8" style="400" customWidth="1"/>
    <col min="6920" max="6920" width="5.5" style="400" customWidth="1"/>
    <col min="6921" max="6921" width="8.75" style="400" customWidth="1"/>
    <col min="6922" max="6922" width="17.625" style="400" customWidth="1"/>
    <col min="6923" max="6923" width="7.25" style="400" customWidth="1"/>
    <col min="6924" max="6924" width="5.5" style="400" customWidth="1"/>
    <col min="6925" max="6925" width="6.625" style="400" customWidth="1"/>
    <col min="6926" max="6926" width="8.375" style="400" customWidth="1"/>
    <col min="6927" max="6927" width="7.75" style="400" customWidth="1"/>
    <col min="6928" max="6928" width="13.875" style="400" customWidth="1"/>
    <col min="6929" max="7169" width="8.875" style="400"/>
    <col min="7170" max="7170" width="5.125" style="400" customWidth="1"/>
    <col min="7171" max="7171" width="22.875" style="400" customWidth="1"/>
    <col min="7172" max="7172" width="22.75" style="400" customWidth="1"/>
    <col min="7173" max="7173" width="19.125" style="400" customWidth="1"/>
    <col min="7174" max="7174" width="8.5" style="400" customWidth="1"/>
    <col min="7175" max="7175" width="8" style="400" customWidth="1"/>
    <col min="7176" max="7176" width="5.5" style="400" customWidth="1"/>
    <col min="7177" max="7177" width="8.75" style="400" customWidth="1"/>
    <col min="7178" max="7178" width="17.625" style="400" customWidth="1"/>
    <col min="7179" max="7179" width="7.25" style="400" customWidth="1"/>
    <col min="7180" max="7180" width="5.5" style="400" customWidth="1"/>
    <col min="7181" max="7181" width="6.625" style="400" customWidth="1"/>
    <col min="7182" max="7182" width="8.375" style="400" customWidth="1"/>
    <col min="7183" max="7183" width="7.75" style="400" customWidth="1"/>
    <col min="7184" max="7184" width="13.875" style="400" customWidth="1"/>
    <col min="7185" max="7425" width="8.875" style="400"/>
    <col min="7426" max="7426" width="5.125" style="400" customWidth="1"/>
    <col min="7427" max="7427" width="22.875" style="400" customWidth="1"/>
    <col min="7428" max="7428" width="22.75" style="400" customWidth="1"/>
    <col min="7429" max="7429" width="19.125" style="400" customWidth="1"/>
    <col min="7430" max="7430" width="8.5" style="400" customWidth="1"/>
    <col min="7431" max="7431" width="8" style="400" customWidth="1"/>
    <col min="7432" max="7432" width="5.5" style="400" customWidth="1"/>
    <col min="7433" max="7433" width="8.75" style="400" customWidth="1"/>
    <col min="7434" max="7434" width="17.625" style="400" customWidth="1"/>
    <col min="7435" max="7435" width="7.25" style="400" customWidth="1"/>
    <col min="7436" max="7436" width="5.5" style="400" customWidth="1"/>
    <col min="7437" max="7437" width="6.625" style="400" customWidth="1"/>
    <col min="7438" max="7438" width="8.375" style="400" customWidth="1"/>
    <col min="7439" max="7439" width="7.75" style="400" customWidth="1"/>
    <col min="7440" max="7440" width="13.875" style="400" customWidth="1"/>
    <col min="7441" max="7681" width="8.875" style="400"/>
    <col min="7682" max="7682" width="5.125" style="400" customWidth="1"/>
    <col min="7683" max="7683" width="22.875" style="400" customWidth="1"/>
    <col min="7684" max="7684" width="22.75" style="400" customWidth="1"/>
    <col min="7685" max="7685" width="19.125" style="400" customWidth="1"/>
    <col min="7686" max="7686" width="8.5" style="400" customWidth="1"/>
    <col min="7687" max="7687" width="8" style="400" customWidth="1"/>
    <col min="7688" max="7688" width="5.5" style="400" customWidth="1"/>
    <col min="7689" max="7689" width="8.75" style="400" customWidth="1"/>
    <col min="7690" max="7690" width="17.625" style="400" customWidth="1"/>
    <col min="7691" max="7691" width="7.25" style="400" customWidth="1"/>
    <col min="7692" max="7692" width="5.5" style="400" customWidth="1"/>
    <col min="7693" max="7693" width="6.625" style="400" customWidth="1"/>
    <col min="7694" max="7694" width="8.375" style="400" customWidth="1"/>
    <col min="7695" max="7695" width="7.75" style="400" customWidth="1"/>
    <col min="7696" max="7696" width="13.875" style="400" customWidth="1"/>
    <col min="7697" max="7937" width="8.875" style="400"/>
    <col min="7938" max="7938" width="5.125" style="400" customWidth="1"/>
    <col min="7939" max="7939" width="22.875" style="400" customWidth="1"/>
    <col min="7940" max="7940" width="22.75" style="400" customWidth="1"/>
    <col min="7941" max="7941" width="19.125" style="400" customWidth="1"/>
    <col min="7942" max="7942" width="8.5" style="400" customWidth="1"/>
    <col min="7943" max="7943" width="8" style="400" customWidth="1"/>
    <col min="7944" max="7944" width="5.5" style="400" customWidth="1"/>
    <col min="7945" max="7945" width="8.75" style="400" customWidth="1"/>
    <col min="7946" max="7946" width="17.625" style="400" customWidth="1"/>
    <col min="7947" max="7947" width="7.25" style="400" customWidth="1"/>
    <col min="7948" max="7948" width="5.5" style="400" customWidth="1"/>
    <col min="7949" max="7949" width="6.625" style="400" customWidth="1"/>
    <col min="7950" max="7950" width="8.375" style="400" customWidth="1"/>
    <col min="7951" max="7951" width="7.75" style="400" customWidth="1"/>
    <col min="7952" max="7952" width="13.875" style="400" customWidth="1"/>
    <col min="7953" max="8193" width="8.875" style="400"/>
    <col min="8194" max="8194" width="5.125" style="400" customWidth="1"/>
    <col min="8195" max="8195" width="22.875" style="400" customWidth="1"/>
    <col min="8196" max="8196" width="22.75" style="400" customWidth="1"/>
    <col min="8197" max="8197" width="19.125" style="400" customWidth="1"/>
    <col min="8198" max="8198" width="8.5" style="400" customWidth="1"/>
    <col min="8199" max="8199" width="8" style="400" customWidth="1"/>
    <col min="8200" max="8200" width="5.5" style="400" customWidth="1"/>
    <col min="8201" max="8201" width="8.75" style="400" customWidth="1"/>
    <col min="8202" max="8202" width="17.625" style="400" customWidth="1"/>
    <col min="8203" max="8203" width="7.25" style="400" customWidth="1"/>
    <col min="8204" max="8204" width="5.5" style="400" customWidth="1"/>
    <col min="8205" max="8205" width="6.625" style="400" customWidth="1"/>
    <col min="8206" max="8206" width="8.375" style="400" customWidth="1"/>
    <col min="8207" max="8207" width="7.75" style="400" customWidth="1"/>
    <col min="8208" max="8208" width="13.875" style="400" customWidth="1"/>
    <col min="8209" max="8449" width="8.875" style="400"/>
    <col min="8450" max="8450" width="5.125" style="400" customWidth="1"/>
    <col min="8451" max="8451" width="22.875" style="400" customWidth="1"/>
    <col min="8452" max="8452" width="22.75" style="400" customWidth="1"/>
    <col min="8453" max="8453" width="19.125" style="400" customWidth="1"/>
    <col min="8454" max="8454" width="8.5" style="400" customWidth="1"/>
    <col min="8455" max="8455" width="8" style="400" customWidth="1"/>
    <col min="8456" max="8456" width="5.5" style="400" customWidth="1"/>
    <col min="8457" max="8457" width="8.75" style="400" customWidth="1"/>
    <col min="8458" max="8458" width="17.625" style="400" customWidth="1"/>
    <col min="8459" max="8459" width="7.25" style="400" customWidth="1"/>
    <col min="8460" max="8460" width="5.5" style="400" customWidth="1"/>
    <col min="8461" max="8461" width="6.625" style="400" customWidth="1"/>
    <col min="8462" max="8462" width="8.375" style="400" customWidth="1"/>
    <col min="8463" max="8463" width="7.75" style="400" customWidth="1"/>
    <col min="8464" max="8464" width="13.875" style="400" customWidth="1"/>
    <col min="8465" max="8705" width="8.875" style="400"/>
    <col min="8706" max="8706" width="5.125" style="400" customWidth="1"/>
    <col min="8707" max="8707" width="22.875" style="400" customWidth="1"/>
    <col min="8708" max="8708" width="22.75" style="400" customWidth="1"/>
    <col min="8709" max="8709" width="19.125" style="400" customWidth="1"/>
    <col min="8710" max="8710" width="8.5" style="400" customWidth="1"/>
    <col min="8711" max="8711" width="8" style="400" customWidth="1"/>
    <col min="8712" max="8712" width="5.5" style="400" customWidth="1"/>
    <col min="8713" max="8713" width="8.75" style="400" customWidth="1"/>
    <col min="8714" max="8714" width="17.625" style="400" customWidth="1"/>
    <col min="8715" max="8715" width="7.25" style="400" customWidth="1"/>
    <col min="8716" max="8716" width="5.5" style="400" customWidth="1"/>
    <col min="8717" max="8717" width="6.625" style="400" customWidth="1"/>
    <col min="8718" max="8718" width="8.375" style="400" customWidth="1"/>
    <col min="8719" max="8719" width="7.75" style="400" customWidth="1"/>
    <col min="8720" max="8720" width="13.875" style="400" customWidth="1"/>
    <col min="8721" max="8961" width="8.875" style="400"/>
    <col min="8962" max="8962" width="5.125" style="400" customWidth="1"/>
    <col min="8963" max="8963" width="22.875" style="400" customWidth="1"/>
    <col min="8964" max="8964" width="22.75" style="400" customWidth="1"/>
    <col min="8965" max="8965" width="19.125" style="400" customWidth="1"/>
    <col min="8966" max="8966" width="8.5" style="400" customWidth="1"/>
    <col min="8967" max="8967" width="8" style="400" customWidth="1"/>
    <col min="8968" max="8968" width="5.5" style="400" customWidth="1"/>
    <col min="8969" max="8969" width="8.75" style="400" customWidth="1"/>
    <col min="8970" max="8970" width="17.625" style="400" customWidth="1"/>
    <col min="8971" max="8971" width="7.25" style="400" customWidth="1"/>
    <col min="8972" max="8972" width="5.5" style="400" customWidth="1"/>
    <col min="8973" max="8973" width="6.625" style="400" customWidth="1"/>
    <col min="8974" max="8974" width="8.375" style="400" customWidth="1"/>
    <col min="8975" max="8975" width="7.75" style="400" customWidth="1"/>
    <col min="8976" max="8976" width="13.875" style="400" customWidth="1"/>
    <col min="8977" max="9217" width="8.875" style="400"/>
    <col min="9218" max="9218" width="5.125" style="400" customWidth="1"/>
    <col min="9219" max="9219" width="22.875" style="400" customWidth="1"/>
    <col min="9220" max="9220" width="22.75" style="400" customWidth="1"/>
    <col min="9221" max="9221" width="19.125" style="400" customWidth="1"/>
    <col min="9222" max="9222" width="8.5" style="400" customWidth="1"/>
    <col min="9223" max="9223" width="8" style="400" customWidth="1"/>
    <col min="9224" max="9224" width="5.5" style="400" customWidth="1"/>
    <col min="9225" max="9225" width="8.75" style="400" customWidth="1"/>
    <col min="9226" max="9226" width="17.625" style="400" customWidth="1"/>
    <col min="9227" max="9227" width="7.25" style="400" customWidth="1"/>
    <col min="9228" max="9228" width="5.5" style="400" customWidth="1"/>
    <col min="9229" max="9229" width="6.625" style="400" customWidth="1"/>
    <col min="9230" max="9230" width="8.375" style="400" customWidth="1"/>
    <col min="9231" max="9231" width="7.75" style="400" customWidth="1"/>
    <col min="9232" max="9232" width="13.875" style="400" customWidth="1"/>
    <col min="9233" max="9473" width="8.875" style="400"/>
    <col min="9474" max="9474" width="5.125" style="400" customWidth="1"/>
    <col min="9475" max="9475" width="22.875" style="400" customWidth="1"/>
    <col min="9476" max="9476" width="22.75" style="400" customWidth="1"/>
    <col min="9477" max="9477" width="19.125" style="400" customWidth="1"/>
    <col min="9478" max="9478" width="8.5" style="400" customWidth="1"/>
    <col min="9479" max="9479" width="8" style="400" customWidth="1"/>
    <col min="9480" max="9480" width="5.5" style="400" customWidth="1"/>
    <col min="9481" max="9481" width="8.75" style="400" customWidth="1"/>
    <col min="9482" max="9482" width="17.625" style="400" customWidth="1"/>
    <col min="9483" max="9483" width="7.25" style="400" customWidth="1"/>
    <col min="9484" max="9484" width="5.5" style="400" customWidth="1"/>
    <col min="9485" max="9485" width="6.625" style="400" customWidth="1"/>
    <col min="9486" max="9486" width="8.375" style="400" customWidth="1"/>
    <col min="9487" max="9487" width="7.75" style="400" customWidth="1"/>
    <col min="9488" max="9488" width="13.875" style="400" customWidth="1"/>
    <col min="9489" max="9729" width="8.875" style="400"/>
    <col min="9730" max="9730" width="5.125" style="400" customWidth="1"/>
    <col min="9731" max="9731" width="22.875" style="400" customWidth="1"/>
    <col min="9732" max="9732" width="22.75" style="400" customWidth="1"/>
    <col min="9733" max="9733" width="19.125" style="400" customWidth="1"/>
    <col min="9734" max="9734" width="8.5" style="400" customWidth="1"/>
    <col min="9735" max="9735" width="8" style="400" customWidth="1"/>
    <col min="9736" max="9736" width="5.5" style="400" customWidth="1"/>
    <col min="9737" max="9737" width="8.75" style="400" customWidth="1"/>
    <col min="9738" max="9738" width="17.625" style="400" customWidth="1"/>
    <col min="9739" max="9739" width="7.25" style="400" customWidth="1"/>
    <col min="9740" max="9740" width="5.5" style="400" customWidth="1"/>
    <col min="9741" max="9741" width="6.625" style="400" customWidth="1"/>
    <col min="9742" max="9742" width="8.375" style="400" customWidth="1"/>
    <col min="9743" max="9743" width="7.75" style="400" customWidth="1"/>
    <col min="9744" max="9744" width="13.875" style="400" customWidth="1"/>
    <col min="9745" max="9985" width="8.875" style="400"/>
    <col min="9986" max="9986" width="5.125" style="400" customWidth="1"/>
    <col min="9987" max="9987" width="22.875" style="400" customWidth="1"/>
    <col min="9988" max="9988" width="22.75" style="400" customWidth="1"/>
    <col min="9989" max="9989" width="19.125" style="400" customWidth="1"/>
    <col min="9990" max="9990" width="8.5" style="400" customWidth="1"/>
    <col min="9991" max="9991" width="8" style="400" customWidth="1"/>
    <col min="9992" max="9992" width="5.5" style="400" customWidth="1"/>
    <col min="9993" max="9993" width="8.75" style="400" customWidth="1"/>
    <col min="9994" max="9994" width="17.625" style="400" customWidth="1"/>
    <col min="9995" max="9995" width="7.25" style="400" customWidth="1"/>
    <col min="9996" max="9996" width="5.5" style="400" customWidth="1"/>
    <col min="9997" max="9997" width="6.625" style="400" customWidth="1"/>
    <col min="9998" max="9998" width="8.375" style="400" customWidth="1"/>
    <col min="9999" max="9999" width="7.75" style="400" customWidth="1"/>
    <col min="10000" max="10000" width="13.875" style="400" customWidth="1"/>
    <col min="10001" max="10241" width="8.875" style="400"/>
    <col min="10242" max="10242" width="5.125" style="400" customWidth="1"/>
    <col min="10243" max="10243" width="22.875" style="400" customWidth="1"/>
    <col min="10244" max="10244" width="22.75" style="400" customWidth="1"/>
    <col min="10245" max="10245" width="19.125" style="400" customWidth="1"/>
    <col min="10246" max="10246" width="8.5" style="400" customWidth="1"/>
    <col min="10247" max="10247" width="8" style="400" customWidth="1"/>
    <col min="10248" max="10248" width="5.5" style="400" customWidth="1"/>
    <col min="10249" max="10249" width="8.75" style="400" customWidth="1"/>
    <col min="10250" max="10250" width="17.625" style="400" customWidth="1"/>
    <col min="10251" max="10251" width="7.25" style="400" customWidth="1"/>
    <col min="10252" max="10252" width="5.5" style="400" customWidth="1"/>
    <col min="10253" max="10253" width="6.625" style="400" customWidth="1"/>
    <col min="10254" max="10254" width="8.375" style="400" customWidth="1"/>
    <col min="10255" max="10255" width="7.75" style="400" customWidth="1"/>
    <col min="10256" max="10256" width="13.875" style="400" customWidth="1"/>
    <col min="10257" max="10497" width="8.875" style="400"/>
    <col min="10498" max="10498" width="5.125" style="400" customWidth="1"/>
    <col min="10499" max="10499" width="22.875" style="400" customWidth="1"/>
    <col min="10500" max="10500" width="22.75" style="400" customWidth="1"/>
    <col min="10501" max="10501" width="19.125" style="400" customWidth="1"/>
    <col min="10502" max="10502" width="8.5" style="400" customWidth="1"/>
    <col min="10503" max="10503" width="8" style="400" customWidth="1"/>
    <col min="10504" max="10504" width="5.5" style="400" customWidth="1"/>
    <col min="10505" max="10505" width="8.75" style="400" customWidth="1"/>
    <col min="10506" max="10506" width="17.625" style="400" customWidth="1"/>
    <col min="10507" max="10507" width="7.25" style="400" customWidth="1"/>
    <col min="10508" max="10508" width="5.5" style="400" customWidth="1"/>
    <col min="10509" max="10509" width="6.625" style="400" customWidth="1"/>
    <col min="10510" max="10510" width="8.375" style="400" customWidth="1"/>
    <col min="10511" max="10511" width="7.75" style="400" customWidth="1"/>
    <col min="10512" max="10512" width="13.875" style="400" customWidth="1"/>
    <col min="10513" max="10753" width="8.875" style="400"/>
    <col min="10754" max="10754" width="5.125" style="400" customWidth="1"/>
    <col min="10755" max="10755" width="22.875" style="400" customWidth="1"/>
    <col min="10756" max="10756" width="22.75" style="400" customWidth="1"/>
    <col min="10757" max="10757" width="19.125" style="400" customWidth="1"/>
    <col min="10758" max="10758" width="8.5" style="400" customWidth="1"/>
    <col min="10759" max="10759" width="8" style="400" customWidth="1"/>
    <col min="10760" max="10760" width="5.5" style="400" customWidth="1"/>
    <col min="10761" max="10761" width="8.75" style="400" customWidth="1"/>
    <col min="10762" max="10762" width="17.625" style="400" customWidth="1"/>
    <col min="10763" max="10763" width="7.25" style="400" customWidth="1"/>
    <col min="10764" max="10764" width="5.5" style="400" customWidth="1"/>
    <col min="10765" max="10765" width="6.625" style="400" customWidth="1"/>
    <col min="10766" max="10766" width="8.375" style="400" customWidth="1"/>
    <col min="10767" max="10767" width="7.75" style="400" customWidth="1"/>
    <col min="10768" max="10768" width="13.875" style="400" customWidth="1"/>
    <col min="10769" max="11009" width="8.875" style="400"/>
    <col min="11010" max="11010" width="5.125" style="400" customWidth="1"/>
    <col min="11011" max="11011" width="22.875" style="400" customWidth="1"/>
    <col min="11012" max="11012" width="22.75" style="400" customWidth="1"/>
    <col min="11013" max="11013" width="19.125" style="400" customWidth="1"/>
    <col min="11014" max="11014" width="8.5" style="400" customWidth="1"/>
    <col min="11015" max="11015" width="8" style="400" customWidth="1"/>
    <col min="11016" max="11016" width="5.5" style="400" customWidth="1"/>
    <col min="11017" max="11017" width="8.75" style="400" customWidth="1"/>
    <col min="11018" max="11018" width="17.625" style="400" customWidth="1"/>
    <col min="11019" max="11019" width="7.25" style="400" customWidth="1"/>
    <col min="11020" max="11020" width="5.5" style="400" customWidth="1"/>
    <col min="11021" max="11021" width="6.625" style="400" customWidth="1"/>
    <col min="11022" max="11022" width="8.375" style="400" customWidth="1"/>
    <col min="11023" max="11023" width="7.75" style="400" customWidth="1"/>
    <col min="11024" max="11024" width="13.875" style="400" customWidth="1"/>
    <col min="11025" max="11265" width="8.875" style="400"/>
    <col min="11266" max="11266" width="5.125" style="400" customWidth="1"/>
    <col min="11267" max="11267" width="22.875" style="400" customWidth="1"/>
    <col min="11268" max="11268" width="22.75" style="400" customWidth="1"/>
    <col min="11269" max="11269" width="19.125" style="400" customWidth="1"/>
    <col min="11270" max="11270" width="8.5" style="400" customWidth="1"/>
    <col min="11271" max="11271" width="8" style="400" customWidth="1"/>
    <col min="11272" max="11272" width="5.5" style="400" customWidth="1"/>
    <col min="11273" max="11273" width="8.75" style="400" customWidth="1"/>
    <col min="11274" max="11274" width="17.625" style="400" customWidth="1"/>
    <col min="11275" max="11275" width="7.25" style="400" customWidth="1"/>
    <col min="11276" max="11276" width="5.5" style="400" customWidth="1"/>
    <col min="11277" max="11277" width="6.625" style="400" customWidth="1"/>
    <col min="11278" max="11278" width="8.375" style="400" customWidth="1"/>
    <col min="11279" max="11279" width="7.75" style="400" customWidth="1"/>
    <col min="11280" max="11280" width="13.875" style="400" customWidth="1"/>
    <col min="11281" max="11521" width="8.875" style="400"/>
    <col min="11522" max="11522" width="5.125" style="400" customWidth="1"/>
    <col min="11523" max="11523" width="22.875" style="400" customWidth="1"/>
    <col min="11524" max="11524" width="22.75" style="400" customWidth="1"/>
    <col min="11525" max="11525" width="19.125" style="400" customWidth="1"/>
    <col min="11526" max="11526" width="8.5" style="400" customWidth="1"/>
    <col min="11527" max="11527" width="8" style="400" customWidth="1"/>
    <col min="11528" max="11528" width="5.5" style="400" customWidth="1"/>
    <col min="11529" max="11529" width="8.75" style="400" customWidth="1"/>
    <col min="11530" max="11530" width="17.625" style="400" customWidth="1"/>
    <col min="11531" max="11531" width="7.25" style="400" customWidth="1"/>
    <col min="11532" max="11532" width="5.5" style="400" customWidth="1"/>
    <col min="11533" max="11533" width="6.625" style="400" customWidth="1"/>
    <col min="11534" max="11534" width="8.375" style="400" customWidth="1"/>
    <col min="11535" max="11535" width="7.75" style="400" customWidth="1"/>
    <col min="11536" max="11536" width="13.875" style="400" customWidth="1"/>
    <col min="11537" max="11777" width="8.875" style="400"/>
    <col min="11778" max="11778" width="5.125" style="400" customWidth="1"/>
    <col min="11779" max="11779" width="22.875" style="400" customWidth="1"/>
    <col min="11780" max="11780" width="22.75" style="400" customWidth="1"/>
    <col min="11781" max="11781" width="19.125" style="400" customWidth="1"/>
    <col min="11782" max="11782" width="8.5" style="400" customWidth="1"/>
    <col min="11783" max="11783" width="8" style="400" customWidth="1"/>
    <col min="11784" max="11784" width="5.5" style="400" customWidth="1"/>
    <col min="11785" max="11785" width="8.75" style="400" customWidth="1"/>
    <col min="11786" max="11786" width="17.625" style="400" customWidth="1"/>
    <col min="11787" max="11787" width="7.25" style="400" customWidth="1"/>
    <col min="11788" max="11788" width="5.5" style="400" customWidth="1"/>
    <col min="11789" max="11789" width="6.625" style="400" customWidth="1"/>
    <col min="11790" max="11790" width="8.375" style="400" customWidth="1"/>
    <col min="11791" max="11791" width="7.75" style="400" customWidth="1"/>
    <col min="11792" max="11792" width="13.875" style="400" customWidth="1"/>
    <col min="11793" max="12033" width="8.875" style="400"/>
    <col min="12034" max="12034" width="5.125" style="400" customWidth="1"/>
    <col min="12035" max="12035" width="22.875" style="400" customWidth="1"/>
    <col min="12036" max="12036" width="22.75" style="400" customWidth="1"/>
    <col min="12037" max="12037" width="19.125" style="400" customWidth="1"/>
    <col min="12038" max="12038" width="8.5" style="400" customWidth="1"/>
    <col min="12039" max="12039" width="8" style="400" customWidth="1"/>
    <col min="12040" max="12040" width="5.5" style="400" customWidth="1"/>
    <col min="12041" max="12041" width="8.75" style="400" customWidth="1"/>
    <col min="12042" max="12042" width="17.625" style="400" customWidth="1"/>
    <col min="12043" max="12043" width="7.25" style="400" customWidth="1"/>
    <col min="12044" max="12044" width="5.5" style="400" customWidth="1"/>
    <col min="12045" max="12045" width="6.625" style="400" customWidth="1"/>
    <col min="12046" max="12046" width="8.375" style="400" customWidth="1"/>
    <col min="12047" max="12047" width="7.75" style="400" customWidth="1"/>
    <col min="12048" max="12048" width="13.875" style="400" customWidth="1"/>
    <col min="12049" max="12289" width="8.875" style="400"/>
    <col min="12290" max="12290" width="5.125" style="400" customWidth="1"/>
    <col min="12291" max="12291" width="22.875" style="400" customWidth="1"/>
    <col min="12292" max="12292" width="22.75" style="400" customWidth="1"/>
    <col min="12293" max="12293" width="19.125" style="400" customWidth="1"/>
    <col min="12294" max="12294" width="8.5" style="400" customWidth="1"/>
    <col min="12295" max="12295" width="8" style="400" customWidth="1"/>
    <col min="12296" max="12296" width="5.5" style="400" customWidth="1"/>
    <col min="12297" max="12297" width="8.75" style="400" customWidth="1"/>
    <col min="12298" max="12298" width="17.625" style="400" customWidth="1"/>
    <col min="12299" max="12299" width="7.25" style="400" customWidth="1"/>
    <col min="12300" max="12300" width="5.5" style="400" customWidth="1"/>
    <col min="12301" max="12301" width="6.625" style="400" customWidth="1"/>
    <col min="12302" max="12302" width="8.375" style="400" customWidth="1"/>
    <col min="12303" max="12303" width="7.75" style="400" customWidth="1"/>
    <col min="12304" max="12304" width="13.875" style="400" customWidth="1"/>
    <col min="12305" max="12545" width="8.875" style="400"/>
    <col min="12546" max="12546" width="5.125" style="400" customWidth="1"/>
    <col min="12547" max="12547" width="22.875" style="400" customWidth="1"/>
    <col min="12548" max="12548" width="22.75" style="400" customWidth="1"/>
    <col min="12549" max="12549" width="19.125" style="400" customWidth="1"/>
    <col min="12550" max="12550" width="8.5" style="400" customWidth="1"/>
    <col min="12551" max="12551" width="8" style="400" customWidth="1"/>
    <col min="12552" max="12552" width="5.5" style="400" customWidth="1"/>
    <col min="12553" max="12553" width="8.75" style="400" customWidth="1"/>
    <col min="12554" max="12554" width="17.625" style="400" customWidth="1"/>
    <col min="12555" max="12555" width="7.25" style="400" customWidth="1"/>
    <col min="12556" max="12556" width="5.5" style="400" customWidth="1"/>
    <col min="12557" max="12557" width="6.625" style="400" customWidth="1"/>
    <col min="12558" max="12558" width="8.375" style="400" customWidth="1"/>
    <col min="12559" max="12559" width="7.75" style="400" customWidth="1"/>
    <col min="12560" max="12560" width="13.875" style="400" customWidth="1"/>
    <col min="12561" max="12801" width="8.875" style="400"/>
    <col min="12802" max="12802" width="5.125" style="400" customWidth="1"/>
    <col min="12803" max="12803" width="22.875" style="400" customWidth="1"/>
    <col min="12804" max="12804" width="22.75" style="400" customWidth="1"/>
    <col min="12805" max="12805" width="19.125" style="400" customWidth="1"/>
    <col min="12806" max="12806" width="8.5" style="400" customWidth="1"/>
    <col min="12807" max="12807" width="8" style="400" customWidth="1"/>
    <col min="12808" max="12808" width="5.5" style="400" customWidth="1"/>
    <col min="12809" max="12809" width="8.75" style="400" customWidth="1"/>
    <col min="12810" max="12810" width="17.625" style="400" customWidth="1"/>
    <col min="12811" max="12811" width="7.25" style="400" customWidth="1"/>
    <col min="12812" max="12812" width="5.5" style="400" customWidth="1"/>
    <col min="12813" max="12813" width="6.625" style="400" customWidth="1"/>
    <col min="12814" max="12814" width="8.375" style="400" customWidth="1"/>
    <col min="12815" max="12815" width="7.75" style="400" customWidth="1"/>
    <col min="12816" max="12816" width="13.875" style="400" customWidth="1"/>
    <col min="12817" max="13057" width="8.875" style="400"/>
    <col min="13058" max="13058" width="5.125" style="400" customWidth="1"/>
    <col min="13059" max="13059" width="22.875" style="400" customWidth="1"/>
    <col min="13060" max="13060" width="22.75" style="400" customWidth="1"/>
    <col min="13061" max="13061" width="19.125" style="400" customWidth="1"/>
    <col min="13062" max="13062" width="8.5" style="400" customWidth="1"/>
    <col min="13063" max="13063" width="8" style="400" customWidth="1"/>
    <col min="13064" max="13064" width="5.5" style="400" customWidth="1"/>
    <col min="13065" max="13065" width="8.75" style="400" customWidth="1"/>
    <col min="13066" max="13066" width="17.625" style="400" customWidth="1"/>
    <col min="13067" max="13067" width="7.25" style="400" customWidth="1"/>
    <col min="13068" max="13068" width="5.5" style="400" customWidth="1"/>
    <col min="13069" max="13069" width="6.625" style="400" customWidth="1"/>
    <col min="13070" max="13070" width="8.375" style="400" customWidth="1"/>
    <col min="13071" max="13071" width="7.75" style="400" customWidth="1"/>
    <col min="13072" max="13072" width="13.875" style="400" customWidth="1"/>
    <col min="13073" max="13313" width="8.875" style="400"/>
    <col min="13314" max="13314" width="5.125" style="400" customWidth="1"/>
    <col min="13315" max="13315" width="22.875" style="400" customWidth="1"/>
    <col min="13316" max="13316" width="22.75" style="400" customWidth="1"/>
    <col min="13317" max="13317" width="19.125" style="400" customWidth="1"/>
    <col min="13318" max="13318" width="8.5" style="400" customWidth="1"/>
    <col min="13319" max="13319" width="8" style="400" customWidth="1"/>
    <col min="13320" max="13320" width="5.5" style="400" customWidth="1"/>
    <col min="13321" max="13321" width="8.75" style="400" customWidth="1"/>
    <col min="13322" max="13322" width="17.625" style="400" customWidth="1"/>
    <col min="13323" max="13323" width="7.25" style="400" customWidth="1"/>
    <col min="13324" max="13324" width="5.5" style="400" customWidth="1"/>
    <col min="13325" max="13325" width="6.625" style="400" customWidth="1"/>
    <col min="13326" max="13326" width="8.375" style="400" customWidth="1"/>
    <col min="13327" max="13327" width="7.75" style="400" customWidth="1"/>
    <col min="13328" max="13328" width="13.875" style="400" customWidth="1"/>
    <col min="13329" max="13569" width="8.875" style="400"/>
    <col min="13570" max="13570" width="5.125" style="400" customWidth="1"/>
    <col min="13571" max="13571" width="22.875" style="400" customWidth="1"/>
    <col min="13572" max="13572" width="22.75" style="400" customWidth="1"/>
    <col min="13573" max="13573" width="19.125" style="400" customWidth="1"/>
    <col min="13574" max="13574" width="8.5" style="400" customWidth="1"/>
    <col min="13575" max="13575" width="8" style="400" customWidth="1"/>
    <col min="13576" max="13576" width="5.5" style="400" customWidth="1"/>
    <col min="13577" max="13577" width="8.75" style="400" customWidth="1"/>
    <col min="13578" max="13578" width="17.625" style="400" customWidth="1"/>
    <col min="13579" max="13579" width="7.25" style="400" customWidth="1"/>
    <col min="13580" max="13580" width="5.5" style="400" customWidth="1"/>
    <col min="13581" max="13581" width="6.625" style="400" customWidth="1"/>
    <col min="13582" max="13582" width="8.375" style="400" customWidth="1"/>
    <col min="13583" max="13583" width="7.75" style="400" customWidth="1"/>
    <col min="13584" max="13584" width="13.875" style="400" customWidth="1"/>
    <col min="13585" max="13825" width="8.875" style="400"/>
    <col min="13826" max="13826" width="5.125" style="400" customWidth="1"/>
    <col min="13827" max="13827" width="22.875" style="400" customWidth="1"/>
    <col min="13828" max="13828" width="22.75" style="400" customWidth="1"/>
    <col min="13829" max="13829" width="19.125" style="400" customWidth="1"/>
    <col min="13830" max="13830" width="8.5" style="400" customWidth="1"/>
    <col min="13831" max="13831" width="8" style="400" customWidth="1"/>
    <col min="13832" max="13832" width="5.5" style="400" customWidth="1"/>
    <col min="13833" max="13833" width="8.75" style="400" customWidth="1"/>
    <col min="13834" max="13834" width="17.625" style="400" customWidth="1"/>
    <col min="13835" max="13835" width="7.25" style="400" customWidth="1"/>
    <col min="13836" max="13836" width="5.5" style="400" customWidth="1"/>
    <col min="13837" max="13837" width="6.625" style="400" customWidth="1"/>
    <col min="13838" max="13838" width="8.375" style="400" customWidth="1"/>
    <col min="13839" max="13839" width="7.75" style="400" customWidth="1"/>
    <col min="13840" max="13840" width="13.875" style="400" customWidth="1"/>
    <col min="13841" max="14081" width="8.875" style="400"/>
    <col min="14082" max="14082" width="5.125" style="400" customWidth="1"/>
    <col min="14083" max="14083" width="22.875" style="400" customWidth="1"/>
    <col min="14084" max="14084" width="22.75" style="400" customWidth="1"/>
    <col min="14085" max="14085" width="19.125" style="400" customWidth="1"/>
    <col min="14086" max="14086" width="8.5" style="400" customWidth="1"/>
    <col min="14087" max="14087" width="8" style="400" customWidth="1"/>
    <col min="14088" max="14088" width="5.5" style="400" customWidth="1"/>
    <col min="14089" max="14089" width="8.75" style="400" customWidth="1"/>
    <col min="14090" max="14090" width="17.625" style="400" customWidth="1"/>
    <col min="14091" max="14091" width="7.25" style="400" customWidth="1"/>
    <col min="14092" max="14092" width="5.5" style="400" customWidth="1"/>
    <col min="14093" max="14093" width="6.625" style="400" customWidth="1"/>
    <col min="14094" max="14094" width="8.375" style="400" customWidth="1"/>
    <col min="14095" max="14095" width="7.75" style="400" customWidth="1"/>
    <col min="14096" max="14096" width="13.875" style="400" customWidth="1"/>
    <col min="14097" max="14337" width="8.875" style="400"/>
    <col min="14338" max="14338" width="5.125" style="400" customWidth="1"/>
    <col min="14339" max="14339" width="22.875" style="400" customWidth="1"/>
    <col min="14340" max="14340" width="22.75" style="400" customWidth="1"/>
    <col min="14341" max="14341" width="19.125" style="400" customWidth="1"/>
    <col min="14342" max="14342" width="8.5" style="400" customWidth="1"/>
    <col min="14343" max="14343" width="8" style="400" customWidth="1"/>
    <col min="14344" max="14344" width="5.5" style="400" customWidth="1"/>
    <col min="14345" max="14345" width="8.75" style="400" customWidth="1"/>
    <col min="14346" max="14346" width="17.625" style="400" customWidth="1"/>
    <col min="14347" max="14347" width="7.25" style="400" customWidth="1"/>
    <col min="14348" max="14348" width="5.5" style="400" customWidth="1"/>
    <col min="14349" max="14349" width="6.625" style="400" customWidth="1"/>
    <col min="14350" max="14350" width="8.375" style="400" customWidth="1"/>
    <col min="14351" max="14351" width="7.75" style="400" customWidth="1"/>
    <col min="14352" max="14352" width="13.875" style="400" customWidth="1"/>
    <col min="14353" max="14593" width="8.875" style="400"/>
    <col min="14594" max="14594" width="5.125" style="400" customWidth="1"/>
    <col min="14595" max="14595" width="22.875" style="400" customWidth="1"/>
    <col min="14596" max="14596" width="22.75" style="400" customWidth="1"/>
    <col min="14597" max="14597" width="19.125" style="400" customWidth="1"/>
    <col min="14598" max="14598" width="8.5" style="400" customWidth="1"/>
    <col min="14599" max="14599" width="8" style="400" customWidth="1"/>
    <col min="14600" max="14600" width="5.5" style="400" customWidth="1"/>
    <col min="14601" max="14601" width="8.75" style="400" customWidth="1"/>
    <col min="14602" max="14602" width="17.625" style="400" customWidth="1"/>
    <col min="14603" max="14603" width="7.25" style="400" customWidth="1"/>
    <col min="14604" max="14604" width="5.5" style="400" customWidth="1"/>
    <col min="14605" max="14605" width="6.625" style="400" customWidth="1"/>
    <col min="14606" max="14606" width="8.375" style="400" customWidth="1"/>
    <col min="14607" max="14607" width="7.75" style="400" customWidth="1"/>
    <col min="14608" max="14608" width="13.875" style="400" customWidth="1"/>
    <col min="14609" max="14849" width="8.875" style="400"/>
    <col min="14850" max="14850" width="5.125" style="400" customWidth="1"/>
    <col min="14851" max="14851" width="22.875" style="400" customWidth="1"/>
    <col min="14852" max="14852" width="22.75" style="400" customWidth="1"/>
    <col min="14853" max="14853" width="19.125" style="400" customWidth="1"/>
    <col min="14854" max="14854" width="8.5" style="400" customWidth="1"/>
    <col min="14855" max="14855" width="8" style="400" customWidth="1"/>
    <col min="14856" max="14856" width="5.5" style="400" customWidth="1"/>
    <col min="14857" max="14857" width="8.75" style="400" customWidth="1"/>
    <col min="14858" max="14858" width="17.625" style="400" customWidth="1"/>
    <col min="14859" max="14859" width="7.25" style="400" customWidth="1"/>
    <col min="14860" max="14860" width="5.5" style="400" customWidth="1"/>
    <col min="14861" max="14861" width="6.625" style="400" customWidth="1"/>
    <col min="14862" max="14862" width="8.375" style="400" customWidth="1"/>
    <col min="14863" max="14863" width="7.75" style="400" customWidth="1"/>
    <col min="14864" max="14864" width="13.875" style="400" customWidth="1"/>
    <col min="14865" max="15105" width="8.875" style="400"/>
    <col min="15106" max="15106" width="5.125" style="400" customWidth="1"/>
    <col min="15107" max="15107" width="22.875" style="400" customWidth="1"/>
    <col min="15108" max="15108" width="22.75" style="400" customWidth="1"/>
    <col min="15109" max="15109" width="19.125" style="400" customWidth="1"/>
    <col min="15110" max="15110" width="8.5" style="400" customWidth="1"/>
    <col min="15111" max="15111" width="8" style="400" customWidth="1"/>
    <col min="15112" max="15112" width="5.5" style="400" customWidth="1"/>
    <col min="15113" max="15113" width="8.75" style="400" customWidth="1"/>
    <col min="15114" max="15114" width="17.625" style="400" customWidth="1"/>
    <col min="15115" max="15115" width="7.25" style="400" customWidth="1"/>
    <col min="15116" max="15116" width="5.5" style="400" customWidth="1"/>
    <col min="15117" max="15117" width="6.625" style="400" customWidth="1"/>
    <col min="15118" max="15118" width="8.375" style="400" customWidth="1"/>
    <col min="15119" max="15119" width="7.75" style="400" customWidth="1"/>
    <col min="15120" max="15120" width="13.875" style="400" customWidth="1"/>
    <col min="15121" max="15361" width="8.875" style="400"/>
    <col min="15362" max="15362" width="5.125" style="400" customWidth="1"/>
    <col min="15363" max="15363" width="22.875" style="400" customWidth="1"/>
    <col min="15364" max="15364" width="22.75" style="400" customWidth="1"/>
    <col min="15365" max="15365" width="19.125" style="400" customWidth="1"/>
    <col min="15366" max="15366" width="8.5" style="400" customWidth="1"/>
    <col min="15367" max="15367" width="8" style="400" customWidth="1"/>
    <col min="15368" max="15368" width="5.5" style="400" customWidth="1"/>
    <col min="15369" max="15369" width="8.75" style="400" customWidth="1"/>
    <col min="15370" max="15370" width="17.625" style="400" customWidth="1"/>
    <col min="15371" max="15371" width="7.25" style="400" customWidth="1"/>
    <col min="15372" max="15372" width="5.5" style="400" customWidth="1"/>
    <col min="15373" max="15373" width="6.625" style="400" customWidth="1"/>
    <col min="15374" max="15374" width="8.375" style="400" customWidth="1"/>
    <col min="15375" max="15375" width="7.75" style="400" customWidth="1"/>
    <col min="15376" max="15376" width="13.875" style="400" customWidth="1"/>
    <col min="15377" max="15617" width="8.875" style="400"/>
    <col min="15618" max="15618" width="5.125" style="400" customWidth="1"/>
    <col min="15619" max="15619" width="22.875" style="400" customWidth="1"/>
    <col min="15620" max="15620" width="22.75" style="400" customWidth="1"/>
    <col min="15621" max="15621" width="19.125" style="400" customWidth="1"/>
    <col min="15622" max="15622" width="8.5" style="400" customWidth="1"/>
    <col min="15623" max="15623" width="8" style="400" customWidth="1"/>
    <col min="15624" max="15624" width="5.5" style="400" customWidth="1"/>
    <col min="15625" max="15625" width="8.75" style="400" customWidth="1"/>
    <col min="15626" max="15626" width="17.625" style="400" customWidth="1"/>
    <col min="15627" max="15627" width="7.25" style="400" customWidth="1"/>
    <col min="15628" max="15628" width="5.5" style="400" customWidth="1"/>
    <col min="15629" max="15629" width="6.625" style="400" customWidth="1"/>
    <col min="15630" max="15630" width="8.375" style="400" customWidth="1"/>
    <col min="15631" max="15631" width="7.75" style="400" customWidth="1"/>
    <col min="15632" max="15632" width="13.875" style="400" customWidth="1"/>
    <col min="15633" max="15873" width="8.875" style="400"/>
    <col min="15874" max="15874" width="5.125" style="400" customWidth="1"/>
    <col min="15875" max="15875" width="22.875" style="400" customWidth="1"/>
    <col min="15876" max="15876" width="22.75" style="400" customWidth="1"/>
    <col min="15877" max="15877" width="19.125" style="400" customWidth="1"/>
    <col min="15878" max="15878" width="8.5" style="400" customWidth="1"/>
    <col min="15879" max="15879" width="8" style="400" customWidth="1"/>
    <col min="15880" max="15880" width="5.5" style="400" customWidth="1"/>
    <col min="15881" max="15881" width="8.75" style="400" customWidth="1"/>
    <col min="15882" max="15882" width="17.625" style="400" customWidth="1"/>
    <col min="15883" max="15883" width="7.25" style="400" customWidth="1"/>
    <col min="15884" max="15884" width="5.5" style="400" customWidth="1"/>
    <col min="15885" max="15885" width="6.625" style="400" customWidth="1"/>
    <col min="15886" max="15886" width="8.375" style="400" customWidth="1"/>
    <col min="15887" max="15887" width="7.75" style="400" customWidth="1"/>
    <col min="15888" max="15888" width="13.875" style="400" customWidth="1"/>
    <col min="15889" max="16129" width="8.875" style="400"/>
    <col min="16130" max="16130" width="5.125" style="400" customWidth="1"/>
    <col min="16131" max="16131" width="22.875" style="400" customWidth="1"/>
    <col min="16132" max="16132" width="22.75" style="400" customWidth="1"/>
    <col min="16133" max="16133" width="19.125" style="400" customWidth="1"/>
    <col min="16134" max="16134" width="8.5" style="400" customWidth="1"/>
    <col min="16135" max="16135" width="8" style="400" customWidth="1"/>
    <col min="16136" max="16136" width="5.5" style="400" customWidth="1"/>
    <col min="16137" max="16137" width="8.75" style="400" customWidth="1"/>
    <col min="16138" max="16138" width="17.625" style="400" customWidth="1"/>
    <col min="16139" max="16139" width="7.25" style="400" customWidth="1"/>
    <col min="16140" max="16140" width="5.5" style="400" customWidth="1"/>
    <col min="16141" max="16141" width="6.625" style="400" customWidth="1"/>
    <col min="16142" max="16142" width="8.375" style="400" customWidth="1"/>
    <col min="16143" max="16143" width="7.75" style="400" customWidth="1"/>
    <col min="16144" max="16144" width="13.875" style="400" customWidth="1"/>
    <col min="16145" max="16384" width="8.875" style="400"/>
  </cols>
  <sheetData>
    <row r="1" ht="36" customHeight="1" spans="1:16">
      <c r="A1" s="401" t="s">
        <v>210</v>
      </c>
      <c r="B1" s="402"/>
      <c r="C1" s="402"/>
      <c r="D1" s="402"/>
      <c r="E1" s="401"/>
      <c r="F1" s="401"/>
      <c r="G1" s="401"/>
      <c r="H1" s="401"/>
      <c r="I1" s="401"/>
      <c r="J1" s="401"/>
      <c r="K1" s="401"/>
      <c r="L1" s="401"/>
      <c r="M1" s="401"/>
      <c r="N1" s="401"/>
      <c r="O1" s="401"/>
      <c r="P1" s="401"/>
    </row>
    <row r="2" ht="18.75" customHeight="1" spans="1:16">
      <c r="A2" s="403" t="str">
        <f>物资类勘察表!A2</f>
        <v>被评估单位：江阴市金捷利制管有限公司</v>
      </c>
      <c r="B2" s="403"/>
      <c r="C2" s="403"/>
      <c r="D2" s="404" t="str">
        <f>设定!B4&amp;YEAR(设定!C4)&amp;"年"&amp;MONTH(设定!C4)&amp;"月"&amp;DAY(设定!C4)&amp;"日"</f>
        <v>评估基准日：2022年3月17日</v>
      </c>
      <c r="E2" s="405"/>
      <c r="F2" s="405"/>
      <c r="G2" s="405"/>
      <c r="H2" s="405"/>
      <c r="I2" s="405"/>
      <c r="J2" s="405"/>
      <c r="K2" s="410"/>
      <c r="L2" s="410"/>
      <c r="M2" s="410"/>
      <c r="N2" s="410"/>
      <c r="O2" s="410"/>
      <c r="P2" s="410" t="s">
        <v>19</v>
      </c>
    </row>
    <row r="3" ht="20.1" customHeight="1" spans="1:16">
      <c r="A3" s="406" t="s">
        <v>20</v>
      </c>
      <c r="B3" s="406" t="s">
        <v>72</v>
      </c>
      <c r="C3" s="406" t="s">
        <v>22</v>
      </c>
      <c r="D3" s="407" t="s">
        <v>73</v>
      </c>
      <c r="E3" s="407" t="s">
        <v>74</v>
      </c>
      <c r="F3" s="407" t="s">
        <v>75</v>
      </c>
      <c r="G3" s="406" t="s">
        <v>23</v>
      </c>
      <c r="H3" s="406" t="s">
        <v>76</v>
      </c>
      <c r="I3" s="407" t="s">
        <v>77</v>
      </c>
      <c r="J3" s="406" t="s">
        <v>78</v>
      </c>
      <c r="K3" s="407" t="s">
        <v>204</v>
      </c>
      <c r="L3" s="406" t="s">
        <v>205</v>
      </c>
      <c r="M3" s="406"/>
      <c r="N3" s="406"/>
      <c r="O3" s="406"/>
      <c r="P3" s="406" t="s">
        <v>8</v>
      </c>
    </row>
    <row r="4" ht="29.25" customHeight="1" spans="1:16">
      <c r="A4" s="406"/>
      <c r="B4" s="406"/>
      <c r="C4" s="406"/>
      <c r="D4" s="408"/>
      <c r="E4" s="408"/>
      <c r="F4" s="408"/>
      <c r="G4" s="406"/>
      <c r="H4" s="406"/>
      <c r="I4" s="408"/>
      <c r="J4" s="406"/>
      <c r="K4" s="408"/>
      <c r="L4" s="411" t="s">
        <v>211</v>
      </c>
      <c r="M4" s="406" t="s">
        <v>212</v>
      </c>
      <c r="N4" s="406" t="s">
        <v>213</v>
      </c>
      <c r="O4" s="411" t="s">
        <v>214</v>
      </c>
      <c r="P4" s="406"/>
    </row>
    <row r="5" ht="28.5" spans="1:16">
      <c r="A5" s="406">
        <f>设备类申报表!A5</f>
        <v>1</v>
      </c>
      <c r="B5" s="409" t="str">
        <f>设备类申报表!B5</f>
        <v>焊管机</v>
      </c>
      <c r="C5" s="409" t="str">
        <f>设备类申报表!C5</f>
        <v>32机组</v>
      </c>
      <c r="D5" s="409" t="str">
        <f>设备类申报表!D5</f>
        <v>张家港市中原制管有限公司</v>
      </c>
      <c r="E5" s="406" t="str">
        <f>设备类申报表!E5</f>
        <v>2000年6月</v>
      </c>
      <c r="F5" s="406">
        <f>设备类申报表!F5</f>
        <v>1</v>
      </c>
      <c r="G5" s="406" t="str">
        <f>设备类申报表!G5</f>
        <v>套</v>
      </c>
      <c r="H5" s="406" t="str">
        <f>设备类申报表!H5</f>
        <v>有</v>
      </c>
      <c r="I5" s="406">
        <f>设备类申报表!I5</f>
        <v>0</v>
      </c>
      <c r="J5" s="406" t="str">
        <f>设备类申报表!J5</f>
        <v>厂区</v>
      </c>
      <c r="K5" s="411"/>
      <c r="L5" s="411"/>
      <c r="M5" s="411"/>
      <c r="N5" s="411"/>
      <c r="O5" s="411"/>
      <c r="P5" s="411"/>
    </row>
    <row r="6" ht="28.5" spans="1:16">
      <c r="A6" s="406">
        <f>设备类申报表!A6</f>
        <v>2</v>
      </c>
      <c r="B6" s="409" t="str">
        <f>设备类申报表!B6</f>
        <v>焊管机</v>
      </c>
      <c r="C6" s="409" t="str">
        <f>设备类申报表!C6</f>
        <v>ZY32机组</v>
      </c>
      <c r="D6" s="409" t="str">
        <f>设备类申报表!D6</f>
        <v>张家港市中原制管有限公司</v>
      </c>
      <c r="E6" s="406" t="str">
        <f>设备类申报表!E6</f>
        <v>2004年6月</v>
      </c>
      <c r="F6" s="406">
        <f>设备类申报表!F6</f>
        <v>1</v>
      </c>
      <c r="G6" s="406" t="str">
        <f>设备类申报表!G6</f>
        <v>套</v>
      </c>
      <c r="H6" s="406" t="str">
        <f>设备类申报表!H6</f>
        <v>有</v>
      </c>
      <c r="I6" s="406">
        <f>设备类申报表!I6</f>
        <v>0</v>
      </c>
      <c r="J6" s="406" t="str">
        <f>设备类申报表!J6</f>
        <v>厂区</v>
      </c>
      <c r="K6" s="411"/>
      <c r="L6" s="411"/>
      <c r="M6" s="411"/>
      <c r="N6" s="411"/>
      <c r="O6" s="411"/>
      <c r="P6" s="411"/>
    </row>
    <row r="7" ht="28.5" spans="1:16">
      <c r="A7" s="406">
        <f>设备类申报表!A7</f>
        <v>3</v>
      </c>
      <c r="B7" s="409" t="str">
        <f>设备类申报表!B7</f>
        <v>焊管机</v>
      </c>
      <c r="C7" s="409" t="str">
        <f>设备类申报表!C7</f>
        <v>45机组</v>
      </c>
      <c r="D7" s="409" t="str">
        <f>设备类申报表!D7</f>
        <v>扬州杨永焊管设备厂</v>
      </c>
      <c r="E7" s="406" t="str">
        <f>设备类申报表!E7</f>
        <v>2011年6月</v>
      </c>
      <c r="F7" s="406">
        <f>设备类申报表!F7</f>
        <v>1</v>
      </c>
      <c r="G7" s="406" t="str">
        <f>设备类申报表!G7</f>
        <v>套</v>
      </c>
      <c r="H7" s="406" t="str">
        <f>设备类申报表!H7</f>
        <v>有</v>
      </c>
      <c r="I7" s="406">
        <f>设备类申报表!I7</f>
        <v>0</v>
      </c>
      <c r="J7" s="406" t="str">
        <f>设备类申报表!J7</f>
        <v>厂区</v>
      </c>
      <c r="K7" s="411"/>
      <c r="L7" s="411"/>
      <c r="M7" s="411"/>
      <c r="N7" s="411"/>
      <c r="O7" s="411"/>
      <c r="P7" s="411"/>
    </row>
    <row r="8" ht="28.5" spans="1:16">
      <c r="A8" s="406">
        <f>设备类申报表!A8</f>
        <v>4</v>
      </c>
      <c r="B8" s="409" t="str">
        <f>设备类申报表!B8</f>
        <v>焊管机</v>
      </c>
      <c r="C8" s="409" t="str">
        <f>设备类申报表!C8</f>
        <v>28机组</v>
      </c>
      <c r="D8" s="409" t="str">
        <f>设备类申报表!D8</f>
        <v>扬州杨永焊管设备厂</v>
      </c>
      <c r="E8" s="406" t="str">
        <f>设备类申报表!E8</f>
        <v>2013年10月</v>
      </c>
      <c r="F8" s="406">
        <f>设备类申报表!F8</f>
        <v>1</v>
      </c>
      <c r="G8" s="406" t="str">
        <f>设备类申报表!G8</f>
        <v>套</v>
      </c>
      <c r="H8" s="406" t="str">
        <f>设备类申报表!H8</f>
        <v>无</v>
      </c>
      <c r="I8" s="406">
        <f>设备类申报表!I8</f>
        <v>0</v>
      </c>
      <c r="J8" s="406" t="str">
        <f>设备类申报表!J8</f>
        <v>厂区</v>
      </c>
      <c r="K8" s="411"/>
      <c r="L8" s="411"/>
      <c r="M8" s="411"/>
      <c r="N8" s="411"/>
      <c r="O8" s="411"/>
      <c r="P8" s="411"/>
    </row>
    <row r="9" spans="1:16">
      <c r="A9" s="406">
        <f>设备类申报表!A9</f>
        <v>5</v>
      </c>
      <c r="B9" s="409" t="str">
        <f>设备类申报表!B9</f>
        <v>钢平台</v>
      </c>
      <c r="C9" s="409" t="str">
        <f>设备类申报表!C9</f>
        <v>2.7*7.3+3*1</v>
      </c>
      <c r="D9" s="409">
        <f>设备类申报表!D9</f>
        <v>0</v>
      </c>
      <c r="E9" s="406">
        <f>设备类申报表!E9</f>
        <v>0</v>
      </c>
      <c r="F9" s="406">
        <f>设备类申报表!F9</f>
        <v>22.71</v>
      </c>
      <c r="G9" s="406" t="str">
        <f>设备类申报表!G9</f>
        <v>m2</v>
      </c>
      <c r="H9" s="406">
        <f>设备类申报表!H9</f>
        <v>0</v>
      </c>
      <c r="I9" s="406">
        <f>设备类申报表!I9</f>
        <v>0</v>
      </c>
      <c r="J9" s="406" t="str">
        <f>设备类申报表!J9</f>
        <v>厂区</v>
      </c>
      <c r="K9" s="411"/>
      <c r="L9" s="411"/>
      <c r="M9" s="411"/>
      <c r="N9" s="411"/>
      <c r="O9" s="411"/>
      <c r="P9" s="411"/>
    </row>
    <row r="10" spans="1:16">
      <c r="A10" s="406">
        <f>设备类申报表!A10</f>
        <v>6</v>
      </c>
      <c r="B10" s="409" t="str">
        <f>设备类申报表!B10</f>
        <v>钢平台</v>
      </c>
      <c r="C10" s="409" t="str">
        <f>设备类申报表!C10</f>
        <v>5.7*4.9+3*1</v>
      </c>
      <c r="D10" s="409">
        <f>设备类申报表!D10</f>
        <v>0</v>
      </c>
      <c r="E10" s="406">
        <f>设备类申报表!E10</f>
        <v>0</v>
      </c>
      <c r="F10" s="406">
        <f>设备类申报表!F10</f>
        <v>30.93</v>
      </c>
      <c r="G10" s="406" t="str">
        <f>设备类申报表!G10</f>
        <v>m2</v>
      </c>
      <c r="H10" s="406">
        <f>设备类申报表!H10</f>
        <v>0</v>
      </c>
      <c r="I10" s="406">
        <f>设备类申报表!I10</f>
        <v>0</v>
      </c>
      <c r="J10" s="406" t="str">
        <f>设备类申报表!J10</f>
        <v>厂区</v>
      </c>
      <c r="K10" s="411"/>
      <c r="L10" s="411"/>
      <c r="M10" s="411"/>
      <c r="N10" s="411"/>
      <c r="O10" s="411"/>
      <c r="P10" s="411"/>
    </row>
    <row r="11" spans="1:16">
      <c r="A11" s="406">
        <f>设备类申报表!A11</f>
        <v>7</v>
      </c>
      <c r="B11" s="409" t="str">
        <f>设备类申报表!B11</f>
        <v>钢平台</v>
      </c>
      <c r="C11" s="409" t="str">
        <f>设备类申报表!C11</f>
        <v>4.6*3.9+3.1</v>
      </c>
      <c r="D11" s="409">
        <f>设备类申报表!D11</f>
        <v>0</v>
      </c>
      <c r="E11" s="406">
        <f>设备类申报表!E11</f>
        <v>0</v>
      </c>
      <c r="F11" s="406">
        <f>设备类申报表!F11</f>
        <v>20.94</v>
      </c>
      <c r="G11" s="406" t="str">
        <f>设备类申报表!G11</f>
        <v>m2</v>
      </c>
      <c r="H11" s="406">
        <f>设备类申报表!H11</f>
        <v>0</v>
      </c>
      <c r="I11" s="406">
        <f>设备类申报表!I11</f>
        <v>0</v>
      </c>
      <c r="J11" s="406" t="str">
        <f>设备类申报表!J11</f>
        <v>厂区</v>
      </c>
      <c r="K11" s="411"/>
      <c r="L11" s="411"/>
      <c r="M11" s="411"/>
      <c r="N11" s="411"/>
      <c r="O11" s="411"/>
      <c r="P11" s="411"/>
    </row>
    <row r="12" ht="28.5" spans="1:16">
      <c r="A12" s="406">
        <f>设备类申报表!A12</f>
        <v>8</v>
      </c>
      <c r="B12" s="409" t="str">
        <f>设备类申报表!B12</f>
        <v>圆锯机</v>
      </c>
      <c r="C12" s="409" t="str">
        <f>设备类申报表!C12</f>
        <v>YJ275Q 300型号</v>
      </c>
      <c r="D12" s="409" t="str">
        <f>设备类申报表!D12</f>
        <v>江苏合丰机械制造有限公司</v>
      </c>
      <c r="E12" s="406" t="str">
        <f>设备类申报表!E12</f>
        <v>2019年12</v>
      </c>
      <c r="F12" s="406">
        <f>设备类申报表!F12</f>
        <v>1</v>
      </c>
      <c r="G12" s="406" t="str">
        <f>设备类申报表!G12</f>
        <v>套</v>
      </c>
      <c r="H12" s="406" t="str">
        <f>设备类申报表!H12</f>
        <v>有</v>
      </c>
      <c r="I12" s="406">
        <f>设备类申报表!I12</f>
        <v>0</v>
      </c>
      <c r="J12" s="406" t="str">
        <f>设备类申报表!J12</f>
        <v>厂区</v>
      </c>
      <c r="K12" s="411"/>
      <c r="L12" s="411"/>
      <c r="M12" s="411"/>
      <c r="N12" s="411"/>
      <c r="O12" s="411"/>
      <c r="P12" s="411"/>
    </row>
    <row r="13" ht="28.5" spans="1:16">
      <c r="A13" s="406">
        <f>设备类申报表!A13</f>
        <v>9</v>
      </c>
      <c r="B13" s="409" t="str">
        <f>设备类申报表!B13</f>
        <v>圆锯机</v>
      </c>
      <c r="C13" s="409" t="str">
        <f>设备类申报表!C13</f>
        <v>300型号</v>
      </c>
      <c r="D13" s="409" t="str">
        <f>设备类申报表!D13</f>
        <v>江苏合丰机械制造有限公司</v>
      </c>
      <c r="E13" s="406" t="str">
        <f>设备类申报表!E13</f>
        <v>2016年10月</v>
      </c>
      <c r="F13" s="406">
        <f>设备类申报表!F13</f>
        <v>1</v>
      </c>
      <c r="G13" s="406" t="str">
        <f>设备类申报表!G13</f>
        <v>套</v>
      </c>
      <c r="H13" s="406" t="str">
        <f>设备类申报表!H13</f>
        <v>有</v>
      </c>
      <c r="I13" s="406">
        <f>设备类申报表!I13</f>
        <v>0</v>
      </c>
      <c r="J13" s="406" t="str">
        <f>设备类申报表!J13</f>
        <v>厂区</v>
      </c>
      <c r="K13" s="411"/>
      <c r="L13" s="411"/>
      <c r="M13" s="411"/>
      <c r="N13" s="411"/>
      <c r="O13" s="411"/>
      <c r="P13" s="411"/>
    </row>
    <row r="14" ht="28.5" spans="1:16">
      <c r="A14" s="406">
        <f>设备类申报表!A14</f>
        <v>10</v>
      </c>
      <c r="B14" s="409" t="str">
        <f>设备类申报表!B14</f>
        <v>圆锯机</v>
      </c>
      <c r="C14" s="409" t="str">
        <f>设备类申报表!C14</f>
        <v>300型号</v>
      </c>
      <c r="D14" s="409" t="str">
        <f>设备类申报表!D14</f>
        <v>江苏合丰机械制造有限公司</v>
      </c>
      <c r="E14" s="406" t="str">
        <f>设备类申报表!E14</f>
        <v>2016年10月</v>
      </c>
      <c r="F14" s="406">
        <f>设备类申报表!F14</f>
        <v>1</v>
      </c>
      <c r="G14" s="406" t="str">
        <f>设备类申报表!G14</f>
        <v>套</v>
      </c>
      <c r="H14" s="406" t="str">
        <f>设备类申报表!H14</f>
        <v>有</v>
      </c>
      <c r="I14" s="406">
        <f>设备类申报表!I14</f>
        <v>0</v>
      </c>
      <c r="J14" s="406" t="str">
        <f>设备类申报表!J14</f>
        <v>厂区</v>
      </c>
      <c r="K14" s="411"/>
      <c r="L14" s="411"/>
      <c r="M14" s="411"/>
      <c r="N14" s="411"/>
      <c r="O14" s="411"/>
      <c r="P14" s="411"/>
    </row>
    <row r="15" spans="1:16">
      <c r="A15" s="406">
        <f>设备类申报表!A15</f>
        <v>11</v>
      </c>
      <c r="B15" s="409" t="str">
        <f>设备类申报表!B15</f>
        <v>倒角机</v>
      </c>
      <c r="C15" s="409" t="str">
        <f>设备类申报表!C15</f>
        <v>/</v>
      </c>
      <c r="D15" s="409" t="str">
        <f>设备类申报表!D15</f>
        <v>江阴</v>
      </c>
      <c r="E15" s="406" t="str">
        <f>设备类申报表!E15</f>
        <v>2014年1月</v>
      </c>
      <c r="F15" s="406">
        <f>设备类申报表!F15</f>
        <v>1</v>
      </c>
      <c r="G15" s="406" t="str">
        <f>设备类申报表!G15</f>
        <v>套</v>
      </c>
      <c r="H15" s="406">
        <f>设备类申报表!H15</f>
        <v>0</v>
      </c>
      <c r="I15" s="406">
        <f>设备类申报表!I15</f>
        <v>0</v>
      </c>
      <c r="J15" s="406" t="str">
        <f>设备类申报表!J15</f>
        <v>厂区</v>
      </c>
      <c r="K15" s="411"/>
      <c r="L15" s="411"/>
      <c r="M15" s="411"/>
      <c r="N15" s="411"/>
      <c r="O15" s="411"/>
      <c r="P15" s="411"/>
    </row>
    <row r="16" spans="1:16">
      <c r="A16" s="406">
        <f>设备类申报表!A16</f>
        <v>12</v>
      </c>
      <c r="B16" s="409" t="str">
        <f>设备类申报表!B16</f>
        <v>分剪机</v>
      </c>
      <c r="C16" s="409" t="str">
        <f>设备类申报表!C16</f>
        <v>/</v>
      </c>
      <c r="D16" s="409" t="str">
        <f>设备类申报表!D16</f>
        <v>江阴</v>
      </c>
      <c r="E16" s="406" t="str">
        <f>设备类申报表!E16</f>
        <v>2005年1月</v>
      </c>
      <c r="F16" s="406">
        <f>设备类申报表!F16</f>
        <v>1</v>
      </c>
      <c r="G16" s="406" t="str">
        <f>设备类申报表!G16</f>
        <v>套</v>
      </c>
      <c r="H16" s="406">
        <f>设备类申报表!H16</f>
        <v>0</v>
      </c>
      <c r="I16" s="406">
        <f>设备类申报表!I16</f>
        <v>0</v>
      </c>
      <c r="J16" s="406" t="str">
        <f>设备类申报表!J16</f>
        <v>厂区</v>
      </c>
      <c r="K16" s="411"/>
      <c r="L16" s="411"/>
      <c r="M16" s="411"/>
      <c r="N16" s="411"/>
      <c r="O16" s="411"/>
      <c r="P16" s="411"/>
    </row>
    <row r="17" ht="28.5" spans="1:16">
      <c r="A17" s="406">
        <f>设备类申报表!A17</f>
        <v>13</v>
      </c>
      <c r="B17" s="409" t="str">
        <f>设备类申报表!B17</f>
        <v>全自动切管机</v>
      </c>
      <c r="C17" s="409" t="str">
        <f>设备类申报表!C17</f>
        <v>YS-350CNC</v>
      </c>
      <c r="D17" s="409" t="str">
        <f>设备类申报表!D17</f>
        <v>张家港友胜机械制造有限公司</v>
      </c>
      <c r="E17" s="406" t="str">
        <f>设备类申报表!E17</f>
        <v>2018年10月</v>
      </c>
      <c r="F17" s="406">
        <f>设备类申报表!F17</f>
        <v>1</v>
      </c>
      <c r="G17" s="406" t="str">
        <f>设备类申报表!G17</f>
        <v>套</v>
      </c>
      <c r="H17" s="406" t="str">
        <f>设备类申报表!H17</f>
        <v>有</v>
      </c>
      <c r="I17" s="406">
        <f>设备类申报表!I17</f>
        <v>0</v>
      </c>
      <c r="J17" s="406" t="str">
        <f>设备类申报表!J17</f>
        <v>厂区</v>
      </c>
      <c r="K17" s="411"/>
      <c r="L17" s="411"/>
      <c r="M17" s="411"/>
      <c r="N17" s="411"/>
      <c r="O17" s="411"/>
      <c r="P17" s="411"/>
    </row>
    <row r="18" ht="28.5" spans="1:16">
      <c r="A18" s="406">
        <f>设备类申报表!A18</f>
        <v>14</v>
      </c>
      <c r="B18" s="409" t="str">
        <f>设备类申报表!B18</f>
        <v>空压机</v>
      </c>
      <c r="C18" s="409" t="str">
        <f>设备类申报表!C18</f>
        <v>螺杆式</v>
      </c>
      <c r="D18" s="409" t="str">
        <f>设备类申报表!D18</f>
        <v>泉州市华德机电设备有限公司</v>
      </c>
      <c r="E18" s="406" t="str">
        <f>设备类申报表!E18</f>
        <v>2013年4月</v>
      </c>
      <c r="F18" s="406">
        <f>设备类申报表!F18</f>
        <v>2</v>
      </c>
      <c r="G18" s="406" t="str">
        <f>设备类申报表!G18</f>
        <v>套</v>
      </c>
      <c r="H18" s="406" t="str">
        <f>设备类申报表!H18</f>
        <v>有</v>
      </c>
      <c r="I18" s="406">
        <f>设备类申报表!I18</f>
        <v>0</v>
      </c>
      <c r="J18" s="406" t="str">
        <f>设备类申报表!J18</f>
        <v>厂区</v>
      </c>
      <c r="K18" s="411"/>
      <c r="L18" s="411"/>
      <c r="M18" s="411"/>
      <c r="N18" s="411"/>
      <c r="O18" s="411"/>
      <c r="P18" s="411"/>
    </row>
    <row r="19" spans="1:16">
      <c r="A19" s="406">
        <f>设备类申报表!A19</f>
        <v>15</v>
      </c>
      <c r="B19" s="409" t="str">
        <f>设备类申报表!B19</f>
        <v>空压机</v>
      </c>
      <c r="C19" s="409">
        <f>设备类申报表!C19</f>
        <v>0</v>
      </c>
      <c r="D19" s="409">
        <f>设备类申报表!D19</f>
        <v>0</v>
      </c>
      <c r="E19" s="406" t="str">
        <f>设备类申报表!E19</f>
        <v>2013年4月</v>
      </c>
      <c r="F19" s="406">
        <f>设备类申报表!F19</f>
        <v>1</v>
      </c>
      <c r="G19" s="406" t="str">
        <f>设备类申报表!G19</f>
        <v>套</v>
      </c>
      <c r="H19" s="406">
        <f>设备类申报表!H19</f>
        <v>0</v>
      </c>
      <c r="I19" s="406">
        <f>设备类申报表!I19</f>
        <v>0</v>
      </c>
      <c r="J19" s="406" t="str">
        <f>设备类申报表!J19</f>
        <v>厂区</v>
      </c>
      <c r="K19" s="411"/>
      <c r="L19" s="411"/>
      <c r="M19" s="411"/>
      <c r="N19" s="411"/>
      <c r="O19" s="411"/>
      <c r="P19" s="411"/>
    </row>
    <row r="20" spans="1:16">
      <c r="A20" s="406">
        <f>设备类申报表!A20</f>
        <v>16</v>
      </c>
      <c r="B20" s="409" t="str">
        <f>设备类申报表!B20</f>
        <v>叉车</v>
      </c>
      <c r="C20" s="409" t="str">
        <f>设备类申报表!C20</f>
        <v>3吨杭叉</v>
      </c>
      <c r="D20" s="409" t="str">
        <f>设备类申报表!D20</f>
        <v>浙江杭叉</v>
      </c>
      <c r="E20" s="406" t="str">
        <f>设备类申报表!E20</f>
        <v>2006年1月</v>
      </c>
      <c r="F20" s="406">
        <f>设备类申报表!F20</f>
        <v>1</v>
      </c>
      <c r="G20" s="406" t="str">
        <f>设备类申报表!G20</f>
        <v>台</v>
      </c>
      <c r="H20" s="406">
        <f>设备类申报表!H20</f>
        <v>0</v>
      </c>
      <c r="I20" s="406">
        <f>设备类申报表!I20</f>
        <v>0</v>
      </c>
      <c r="J20" s="406" t="str">
        <f>设备类申报表!J20</f>
        <v>厂区</v>
      </c>
      <c r="K20" s="411"/>
      <c r="L20" s="411"/>
      <c r="M20" s="411"/>
      <c r="N20" s="411"/>
      <c r="O20" s="411"/>
      <c r="P20" s="411"/>
    </row>
    <row r="21" spans="1:16">
      <c r="A21" s="406">
        <f>设备类申报表!A21</f>
        <v>17</v>
      </c>
      <c r="B21" s="409" t="str">
        <f>设备类申报表!B21</f>
        <v>磨床</v>
      </c>
      <c r="C21" s="409" t="str">
        <f>设备类申报表!C21</f>
        <v>外圆磨床</v>
      </c>
      <c r="D21" s="409" t="str">
        <f>设备类申报表!D21</f>
        <v>上海机械厂</v>
      </c>
      <c r="E21" s="406" t="str">
        <f>设备类申报表!E21</f>
        <v>2006年1月</v>
      </c>
      <c r="F21" s="406">
        <f>设备类申报表!F21</f>
        <v>1</v>
      </c>
      <c r="G21" s="406" t="str">
        <f>设备类申报表!G21</f>
        <v>台</v>
      </c>
      <c r="H21" s="406" t="str">
        <f>设备类申报表!H21</f>
        <v>有</v>
      </c>
      <c r="I21" s="406">
        <f>设备类申报表!I21</f>
        <v>0</v>
      </c>
      <c r="J21" s="406" t="str">
        <f>设备类申报表!J21</f>
        <v>厂区</v>
      </c>
      <c r="K21" s="411"/>
      <c r="L21" s="411"/>
      <c r="M21" s="411"/>
      <c r="N21" s="411"/>
      <c r="O21" s="411"/>
      <c r="P21" s="411"/>
    </row>
    <row r="22" ht="28.5" spans="1:16">
      <c r="A22" s="406">
        <f>设备类申报表!A22</f>
        <v>18</v>
      </c>
      <c r="B22" s="409" t="str">
        <f>设备类申报表!B22</f>
        <v>行车</v>
      </c>
      <c r="C22" s="409" t="str">
        <f>设备类申报表!C22</f>
        <v>2T</v>
      </c>
      <c r="D22" s="409" t="str">
        <f>设备类申报表!D22</f>
        <v>江阴市腾祥起重机械有限公司</v>
      </c>
      <c r="E22" s="406" t="str">
        <f>设备类申报表!E22</f>
        <v>2016年10月</v>
      </c>
      <c r="F22" s="406">
        <f>设备类申报表!F22</f>
        <v>6</v>
      </c>
      <c r="G22" s="406" t="str">
        <f>设备类申报表!G22</f>
        <v>台</v>
      </c>
      <c r="H22" s="406">
        <f>设备类申报表!H22</f>
        <v>0</v>
      </c>
      <c r="I22" s="406">
        <f>设备类申报表!I22</f>
        <v>0</v>
      </c>
      <c r="J22" s="406" t="str">
        <f>设备类申报表!J22</f>
        <v>厂区</v>
      </c>
      <c r="K22" s="411"/>
      <c r="L22" s="411"/>
      <c r="M22" s="411"/>
      <c r="N22" s="411"/>
      <c r="O22" s="411"/>
      <c r="P22" s="411"/>
    </row>
    <row r="23" ht="28.5" spans="1:16">
      <c r="A23" s="406">
        <f>设备类申报表!A23</f>
        <v>19</v>
      </c>
      <c r="B23" s="409" t="str">
        <f>设备类申报表!B23</f>
        <v>行车</v>
      </c>
      <c r="C23" s="409" t="str">
        <f>设备类申报表!C23</f>
        <v>2.9T</v>
      </c>
      <c r="D23" s="409" t="str">
        <f>设备类申报表!D23</f>
        <v>江阴市鑫马起重机械有限公司</v>
      </c>
      <c r="E23" s="406" t="str">
        <f>设备类申报表!E23</f>
        <v>2011年3月</v>
      </c>
      <c r="F23" s="406">
        <f>设备类申报表!F23</f>
        <v>2</v>
      </c>
      <c r="G23" s="406" t="str">
        <f>设备类申报表!G23</f>
        <v>台</v>
      </c>
      <c r="H23" s="406" t="str">
        <f>设备类申报表!H23</f>
        <v>有</v>
      </c>
      <c r="I23" s="406">
        <f>设备类申报表!I23</f>
        <v>0</v>
      </c>
      <c r="J23" s="406" t="str">
        <f>设备类申报表!J23</f>
        <v>厂区</v>
      </c>
      <c r="K23" s="411"/>
      <c r="L23" s="411"/>
      <c r="M23" s="411"/>
      <c r="N23" s="411"/>
      <c r="O23" s="411"/>
      <c r="P23" s="411"/>
    </row>
    <row r="24" ht="28.5" spans="1:16">
      <c r="A24" s="406">
        <f>设备类申报表!A24</f>
        <v>20</v>
      </c>
      <c r="B24" s="409" t="str">
        <f>设备类申报表!B24</f>
        <v>行车</v>
      </c>
      <c r="C24" s="409" t="str">
        <f>设备类申报表!C24</f>
        <v>5T</v>
      </c>
      <c r="D24" s="409" t="str">
        <f>设备类申报表!D24</f>
        <v>江阴市鑫马起重机械有限公司</v>
      </c>
      <c r="E24" s="406" t="str">
        <f>设备类申报表!E24</f>
        <v>2012年9月</v>
      </c>
      <c r="F24" s="406">
        <f>设备类申报表!F24</f>
        <v>1</v>
      </c>
      <c r="G24" s="406" t="str">
        <f>设备类申报表!G24</f>
        <v>台</v>
      </c>
      <c r="H24" s="406">
        <f>设备类申报表!H24</f>
        <v>0</v>
      </c>
      <c r="I24" s="406">
        <f>设备类申报表!I24</f>
        <v>0</v>
      </c>
      <c r="J24" s="406" t="str">
        <f>设备类申报表!J24</f>
        <v>厂区</v>
      </c>
      <c r="K24" s="411"/>
      <c r="L24" s="411"/>
      <c r="M24" s="411"/>
      <c r="N24" s="411"/>
      <c r="O24" s="411"/>
      <c r="P24" s="411"/>
    </row>
    <row r="25" spans="1:16">
      <c r="A25" s="406">
        <f>设备类申报表!A25</f>
        <v>21</v>
      </c>
      <c r="B25" s="409" t="str">
        <f>设备类申报表!B25</f>
        <v>葫芦</v>
      </c>
      <c r="C25" s="409" t="str">
        <f>设备类申报表!C25</f>
        <v>800KG</v>
      </c>
      <c r="D25" s="409">
        <f>设备类申报表!D25</f>
        <v>0</v>
      </c>
      <c r="E25" s="406" t="str">
        <f>设备类申报表!E25</f>
        <v>2011年3月</v>
      </c>
      <c r="F25" s="406">
        <f>设备类申报表!F25</f>
        <v>4</v>
      </c>
      <c r="G25" s="406" t="str">
        <f>设备类申报表!G25</f>
        <v>台</v>
      </c>
      <c r="H25" s="406">
        <f>设备类申报表!H25</f>
        <v>0</v>
      </c>
      <c r="I25" s="406">
        <f>设备类申报表!I25</f>
        <v>0</v>
      </c>
      <c r="J25" s="406" t="str">
        <f>设备类申报表!J25</f>
        <v>厂区</v>
      </c>
      <c r="K25" s="411"/>
      <c r="L25" s="411"/>
      <c r="M25" s="411"/>
      <c r="N25" s="411"/>
      <c r="O25" s="411"/>
      <c r="P25" s="411"/>
    </row>
    <row r="26" spans="1:16">
      <c r="A26" s="406">
        <f>设备类申报表!A26</f>
        <v>22</v>
      </c>
      <c r="B26" s="409" t="str">
        <f>设备类申报表!B26</f>
        <v>泵</v>
      </c>
      <c r="C26" s="409">
        <f>设备类申报表!C26</f>
        <v>0</v>
      </c>
      <c r="D26" s="409">
        <f>设备类申报表!D26</f>
        <v>0</v>
      </c>
      <c r="E26" s="406" t="str">
        <f>设备类申报表!E26</f>
        <v>2011年3月</v>
      </c>
      <c r="F26" s="406">
        <f>设备类申报表!F26</f>
        <v>6</v>
      </c>
      <c r="G26" s="406" t="str">
        <f>设备类申报表!G26</f>
        <v>台</v>
      </c>
      <c r="H26" s="406">
        <f>设备类申报表!H26</f>
        <v>0</v>
      </c>
      <c r="I26" s="406">
        <f>设备类申报表!I26</f>
        <v>0</v>
      </c>
      <c r="J26" s="406" t="str">
        <f>设备类申报表!J26</f>
        <v>厂区</v>
      </c>
      <c r="K26" s="411"/>
      <c r="L26" s="411"/>
      <c r="M26" s="411"/>
      <c r="N26" s="411"/>
      <c r="O26" s="411"/>
      <c r="P26" s="411"/>
    </row>
    <row r="27" spans="1:16">
      <c r="A27" s="406">
        <f>设备类申报表!A27</f>
        <v>23</v>
      </c>
      <c r="B27" s="409" t="str">
        <f>设备类申报表!B27</f>
        <v>电机</v>
      </c>
      <c r="C27" s="409">
        <f>设备类申报表!C27</f>
        <v>0</v>
      </c>
      <c r="D27" s="409">
        <f>设备类申报表!D27</f>
        <v>0</v>
      </c>
      <c r="E27" s="406" t="str">
        <f>设备类申报表!E27</f>
        <v>2011年3月</v>
      </c>
      <c r="F27" s="406">
        <f>设备类申报表!F27</f>
        <v>30</v>
      </c>
      <c r="G27" s="406" t="str">
        <f>设备类申报表!G27</f>
        <v>台</v>
      </c>
      <c r="H27" s="406">
        <f>设备类申报表!H27</f>
        <v>0</v>
      </c>
      <c r="I27" s="406">
        <f>设备类申报表!I27</f>
        <v>0</v>
      </c>
      <c r="J27" s="406" t="str">
        <f>设备类申报表!J27</f>
        <v>厂区</v>
      </c>
      <c r="K27" s="411"/>
      <c r="L27" s="411"/>
      <c r="M27" s="411"/>
      <c r="N27" s="411"/>
      <c r="O27" s="411"/>
      <c r="P27" s="411"/>
    </row>
    <row r="28" spans="1:16">
      <c r="A28" s="406">
        <f>设备类申报表!A28</f>
        <v>24</v>
      </c>
      <c r="B28" s="409" t="str">
        <f>设备类申报表!B28</f>
        <v>烤箱</v>
      </c>
      <c r="C28" s="409">
        <f>设备类申报表!C28</f>
        <v>0</v>
      </c>
      <c r="D28" s="409">
        <f>设备类申报表!D28</f>
        <v>0</v>
      </c>
      <c r="E28" s="406" t="str">
        <f>设备类申报表!E28</f>
        <v>2011年3月</v>
      </c>
      <c r="F28" s="406">
        <f>设备类申报表!F28</f>
        <v>1</v>
      </c>
      <c r="G28" s="406" t="str">
        <f>设备类申报表!G28</f>
        <v>台</v>
      </c>
      <c r="H28" s="406">
        <f>设备类申报表!H28</f>
        <v>0</v>
      </c>
      <c r="I28" s="406">
        <f>设备类申报表!I28</f>
        <v>0</v>
      </c>
      <c r="J28" s="406" t="str">
        <f>设备类申报表!J28</f>
        <v>厂区</v>
      </c>
      <c r="K28" s="411"/>
      <c r="L28" s="411"/>
      <c r="M28" s="411"/>
      <c r="N28" s="411"/>
      <c r="O28" s="411"/>
      <c r="P28" s="411"/>
    </row>
    <row r="29" spans="1:16">
      <c r="A29" s="406">
        <f>设备类申报表!A29</f>
        <v>25</v>
      </c>
      <c r="B29" s="409" t="str">
        <f>设备类申报表!B29</f>
        <v>开水炉</v>
      </c>
      <c r="C29" s="409">
        <f>设备类申报表!C29</f>
        <v>0</v>
      </c>
      <c r="D29" s="409">
        <f>设备类申报表!D29</f>
        <v>0</v>
      </c>
      <c r="E29" s="406" t="str">
        <f>设备类申报表!E29</f>
        <v>2011年3月</v>
      </c>
      <c r="F29" s="406">
        <f>设备类申报表!F29</f>
        <v>1</v>
      </c>
      <c r="G29" s="406" t="str">
        <f>设备类申报表!G29</f>
        <v>只</v>
      </c>
      <c r="H29" s="406">
        <f>设备类申报表!H29</f>
        <v>0</v>
      </c>
      <c r="I29" s="406">
        <f>设备类申报表!I29</f>
        <v>0</v>
      </c>
      <c r="J29" s="406" t="str">
        <f>设备类申报表!J29</f>
        <v>厂区</v>
      </c>
      <c r="K29" s="411"/>
      <c r="L29" s="411"/>
      <c r="M29" s="411"/>
      <c r="N29" s="411"/>
      <c r="O29" s="411"/>
      <c r="P29" s="411"/>
    </row>
    <row r="30" spans="1:16">
      <c r="A30" s="406">
        <f>设备类申报表!A30</f>
        <v>26</v>
      </c>
      <c r="B30" s="409" t="str">
        <f>设备类申报表!B30</f>
        <v>风帽</v>
      </c>
      <c r="C30" s="409">
        <f>设备类申报表!C30</f>
        <v>0</v>
      </c>
      <c r="D30" s="409">
        <f>设备类申报表!D30</f>
        <v>0</v>
      </c>
      <c r="E30" s="406" t="str">
        <f>设备类申报表!E30</f>
        <v>2011年3月</v>
      </c>
      <c r="F30" s="406">
        <f>设备类申报表!F30</f>
        <v>12</v>
      </c>
      <c r="G30" s="406" t="str">
        <f>设备类申报表!G30</f>
        <v>只</v>
      </c>
      <c r="H30" s="406">
        <f>设备类申报表!H30</f>
        <v>0</v>
      </c>
      <c r="I30" s="406">
        <f>设备类申报表!I30</f>
        <v>0</v>
      </c>
      <c r="J30" s="406" t="str">
        <f>设备类申报表!J30</f>
        <v>厂区</v>
      </c>
      <c r="K30" s="411"/>
      <c r="L30" s="411"/>
      <c r="M30" s="411"/>
      <c r="N30" s="411"/>
      <c r="O30" s="411"/>
      <c r="P30" s="411"/>
    </row>
    <row r="31" spans="1:16">
      <c r="A31" s="406">
        <f>设备类申报表!A31</f>
        <v>27</v>
      </c>
      <c r="B31" s="409" t="str">
        <f>设备类申报表!B31</f>
        <v>储气罐</v>
      </c>
      <c r="C31" s="409">
        <f>设备类申报表!C31</f>
        <v>0</v>
      </c>
      <c r="D31" s="409">
        <f>设备类申报表!D31</f>
        <v>0</v>
      </c>
      <c r="E31" s="406" t="str">
        <f>设备类申报表!E31</f>
        <v>2004年6月</v>
      </c>
      <c r="F31" s="406">
        <f>设备类申报表!F31</f>
        <v>1</v>
      </c>
      <c r="G31" s="406" t="str">
        <f>设备类申报表!G31</f>
        <v>只</v>
      </c>
      <c r="H31" s="406">
        <f>设备类申报表!H31</f>
        <v>0</v>
      </c>
      <c r="I31" s="406">
        <f>设备类申报表!I31</f>
        <v>0</v>
      </c>
      <c r="J31" s="406" t="str">
        <f>设备类申报表!J31</f>
        <v>厂区</v>
      </c>
      <c r="K31" s="411"/>
      <c r="L31" s="411"/>
      <c r="M31" s="411"/>
      <c r="N31" s="411"/>
      <c r="O31" s="411"/>
      <c r="P31" s="411"/>
    </row>
    <row r="32" spans="1:16">
      <c r="A32" s="406">
        <f>设备类申报表!A32</f>
        <v>28</v>
      </c>
      <c r="B32" s="409" t="str">
        <f>设备类申报表!B32</f>
        <v>切割机</v>
      </c>
      <c r="C32" s="409">
        <f>设备类申报表!C32</f>
        <v>0</v>
      </c>
      <c r="D32" s="409">
        <f>设备类申报表!D32</f>
        <v>0</v>
      </c>
      <c r="E32" s="406" t="str">
        <f>设备类申报表!E32</f>
        <v>2004年6月</v>
      </c>
      <c r="F32" s="406">
        <f>设备类申报表!F32</f>
        <v>1</v>
      </c>
      <c r="G32" s="406" t="str">
        <f>设备类申报表!G32</f>
        <v>台</v>
      </c>
      <c r="H32" s="406">
        <f>设备类申报表!H32</f>
        <v>0</v>
      </c>
      <c r="I32" s="406">
        <f>设备类申报表!I32</f>
        <v>0</v>
      </c>
      <c r="J32" s="406" t="str">
        <f>设备类申报表!J32</f>
        <v>厂区</v>
      </c>
      <c r="K32" s="411"/>
      <c r="L32" s="411"/>
      <c r="M32" s="411"/>
      <c r="N32" s="411"/>
      <c r="O32" s="411"/>
      <c r="P32" s="411"/>
    </row>
    <row r="33" spans="1:16">
      <c r="A33" s="406">
        <f>设备类申报表!A33</f>
        <v>29</v>
      </c>
      <c r="B33" s="409" t="str">
        <f>设备类申报表!B33</f>
        <v>手动叉车</v>
      </c>
      <c r="C33" s="409">
        <f>设备类申报表!C33</f>
        <v>0</v>
      </c>
      <c r="D33" s="409">
        <f>设备类申报表!D33</f>
        <v>0</v>
      </c>
      <c r="E33" s="406" t="str">
        <f>设备类申报表!E33</f>
        <v>2004年6月</v>
      </c>
      <c r="F33" s="406">
        <f>设备类申报表!F33</f>
        <v>1</v>
      </c>
      <c r="G33" s="406" t="str">
        <f>设备类申报表!G33</f>
        <v>台</v>
      </c>
      <c r="H33" s="406">
        <f>设备类申报表!H33</f>
        <v>0</v>
      </c>
      <c r="I33" s="406">
        <f>设备类申报表!I33</f>
        <v>0</v>
      </c>
      <c r="J33" s="406" t="str">
        <f>设备类申报表!J33</f>
        <v>厂区</v>
      </c>
      <c r="K33" s="411"/>
      <c r="L33" s="411"/>
      <c r="M33" s="411"/>
      <c r="N33" s="411"/>
      <c r="O33" s="411"/>
      <c r="P33" s="411"/>
    </row>
    <row r="34" spans="1:16">
      <c r="A34" s="406">
        <f>设备类申报表!A34</f>
        <v>30</v>
      </c>
      <c r="B34" s="409" t="str">
        <f>设备类申报表!B34</f>
        <v>磨锯片机</v>
      </c>
      <c r="C34" s="409">
        <f>设备类申报表!C34</f>
        <v>0</v>
      </c>
      <c r="D34" s="409">
        <f>设备类申报表!D34</f>
        <v>0</v>
      </c>
      <c r="E34" s="406" t="str">
        <f>设备类申报表!E34</f>
        <v>2004年6月</v>
      </c>
      <c r="F34" s="406">
        <f>设备类申报表!F34</f>
        <v>3</v>
      </c>
      <c r="G34" s="406" t="str">
        <f>设备类申报表!G34</f>
        <v>台</v>
      </c>
      <c r="H34" s="406">
        <f>设备类申报表!H34</f>
        <v>0</v>
      </c>
      <c r="I34" s="406">
        <f>设备类申报表!I34</f>
        <v>0</v>
      </c>
      <c r="J34" s="406" t="str">
        <f>设备类申报表!J34</f>
        <v>厂区</v>
      </c>
      <c r="K34" s="411"/>
      <c r="L34" s="411"/>
      <c r="M34" s="411"/>
      <c r="N34" s="411"/>
      <c r="O34" s="411"/>
      <c r="P34" s="411"/>
    </row>
    <row r="35" spans="1:16">
      <c r="A35" s="406">
        <f>设备类申报表!A35</f>
        <v>31</v>
      </c>
      <c r="B35" s="409" t="str">
        <f>设备类申报表!B35</f>
        <v>氩弧焊接机</v>
      </c>
      <c r="C35" s="409">
        <f>设备类申报表!C35</f>
        <v>0</v>
      </c>
      <c r="D35" s="409">
        <f>设备类申报表!D35</f>
        <v>0</v>
      </c>
      <c r="E35" s="406" t="str">
        <f>设备类申报表!E35</f>
        <v>2004年6月</v>
      </c>
      <c r="F35" s="406">
        <f>设备类申报表!F35</f>
        <v>2</v>
      </c>
      <c r="G35" s="406" t="str">
        <f>设备类申报表!G35</f>
        <v>台</v>
      </c>
      <c r="H35" s="406">
        <f>设备类申报表!H35</f>
        <v>0</v>
      </c>
      <c r="I35" s="406">
        <f>设备类申报表!I35</f>
        <v>0</v>
      </c>
      <c r="J35" s="406" t="str">
        <f>设备类申报表!J35</f>
        <v>厂区</v>
      </c>
      <c r="K35" s="411"/>
      <c r="L35" s="411"/>
      <c r="M35" s="411"/>
      <c r="N35" s="411"/>
      <c r="O35" s="411"/>
      <c r="P35" s="411"/>
    </row>
    <row r="36" spans="1:16">
      <c r="A36" s="406">
        <f>设备类申报表!A36</f>
        <v>32</v>
      </c>
      <c r="B36" s="409" t="str">
        <f>设备类申报表!B36</f>
        <v>平头机</v>
      </c>
      <c r="C36" s="409">
        <f>设备类申报表!C36</f>
        <v>0</v>
      </c>
      <c r="D36" s="409">
        <f>设备类申报表!D36</f>
        <v>0</v>
      </c>
      <c r="E36" s="406" t="str">
        <f>设备类申报表!E36</f>
        <v>2004年6月</v>
      </c>
      <c r="F36" s="406">
        <f>设备类申报表!F36</f>
        <v>1</v>
      </c>
      <c r="G36" s="406" t="str">
        <f>设备类申报表!G36</f>
        <v>台</v>
      </c>
      <c r="H36" s="406">
        <f>设备类申报表!H36</f>
        <v>0</v>
      </c>
      <c r="I36" s="406">
        <f>设备类申报表!I36</f>
        <v>0</v>
      </c>
      <c r="J36" s="406" t="str">
        <f>设备类申报表!J36</f>
        <v>厂区</v>
      </c>
      <c r="K36" s="411"/>
      <c r="L36" s="411"/>
      <c r="M36" s="411"/>
      <c r="N36" s="411"/>
      <c r="O36" s="411"/>
      <c r="P36" s="411"/>
    </row>
    <row r="37" spans="1:16">
      <c r="A37" s="406">
        <f>设备类申报表!A37</f>
        <v>33</v>
      </c>
      <c r="B37" s="409" t="str">
        <f>设备类申报表!B37</f>
        <v>A电缆线</v>
      </c>
      <c r="C37" s="409" t="str">
        <f>设备类申报表!C37</f>
        <v>3*95+50</v>
      </c>
      <c r="D37" s="409">
        <f>设备类申报表!D37</f>
        <v>0</v>
      </c>
      <c r="E37" s="406" t="str">
        <f>设备类申报表!E37</f>
        <v>2006年1月</v>
      </c>
      <c r="F37" s="406">
        <f>设备类申报表!F37</f>
        <v>120</v>
      </c>
      <c r="G37" s="406" t="str">
        <f>设备类申报表!G37</f>
        <v>米</v>
      </c>
      <c r="H37" s="406">
        <f>设备类申报表!H37</f>
        <v>0</v>
      </c>
      <c r="I37" s="406">
        <f>设备类申报表!I37</f>
        <v>0</v>
      </c>
      <c r="J37" s="406" t="str">
        <f>设备类申报表!J37</f>
        <v>厂区</v>
      </c>
      <c r="K37" s="411"/>
      <c r="L37" s="411"/>
      <c r="M37" s="411"/>
      <c r="N37" s="411"/>
      <c r="O37" s="411"/>
      <c r="P37" s="411"/>
    </row>
    <row r="38" spans="1:16">
      <c r="A38" s="406">
        <f>设备类申报表!A38</f>
        <v>34</v>
      </c>
      <c r="B38" s="409" t="str">
        <f>设备类申报表!B38</f>
        <v>B电缆线-1</v>
      </c>
      <c r="C38" s="409" t="str">
        <f>设备类申报表!C38</f>
        <v>3*185+95</v>
      </c>
      <c r="D38" s="409">
        <f>设备类申报表!D38</f>
        <v>0</v>
      </c>
      <c r="E38" s="406" t="str">
        <f>设备类申报表!E38</f>
        <v>2006年1月</v>
      </c>
      <c r="F38" s="406">
        <f>设备类申报表!F38</f>
        <v>100</v>
      </c>
      <c r="G38" s="406" t="str">
        <f>设备类申报表!G38</f>
        <v>米</v>
      </c>
      <c r="H38" s="406">
        <f>设备类申报表!H38</f>
        <v>0</v>
      </c>
      <c r="I38" s="406">
        <f>设备类申报表!I38</f>
        <v>0</v>
      </c>
      <c r="J38" s="406" t="str">
        <f>设备类申报表!J38</f>
        <v>厂区</v>
      </c>
      <c r="K38" s="411"/>
      <c r="L38" s="411"/>
      <c r="M38" s="411"/>
      <c r="N38" s="411"/>
      <c r="O38" s="411"/>
      <c r="P38" s="411"/>
    </row>
    <row r="39" spans="1:16">
      <c r="A39" s="406">
        <f>设备类申报表!A39</f>
        <v>35</v>
      </c>
      <c r="B39" s="409" t="str">
        <f>设备类申报表!B39</f>
        <v>B电缆线-2</v>
      </c>
      <c r="C39" s="409" t="str">
        <f>设备类申报表!C39</f>
        <v>3*120+70</v>
      </c>
      <c r="D39" s="409">
        <f>设备类申报表!D39</f>
        <v>0</v>
      </c>
      <c r="E39" s="406" t="str">
        <f>设备类申报表!E39</f>
        <v>2006年1月</v>
      </c>
      <c r="F39" s="406">
        <f>设备类申报表!F39</f>
        <v>100</v>
      </c>
      <c r="G39" s="406" t="str">
        <f>设备类申报表!G39</f>
        <v>米</v>
      </c>
      <c r="H39" s="406">
        <f>设备类申报表!H39</f>
        <v>0</v>
      </c>
      <c r="I39" s="406">
        <f>设备类申报表!I39</f>
        <v>0</v>
      </c>
      <c r="J39" s="406" t="str">
        <f>设备类申报表!J39</f>
        <v>厂区</v>
      </c>
      <c r="K39" s="411"/>
      <c r="L39" s="411"/>
      <c r="M39" s="411"/>
      <c r="N39" s="411"/>
      <c r="O39" s="411"/>
      <c r="P39" s="411"/>
    </row>
    <row r="40" spans="1:16">
      <c r="A40" s="406">
        <f>设备类申报表!A40</f>
        <v>36</v>
      </c>
      <c r="B40" s="409" t="str">
        <f>设备类申报表!B40</f>
        <v>B电缆线-3</v>
      </c>
      <c r="C40" s="409" t="str">
        <f>设备类申报表!C40</f>
        <v>3*95+50</v>
      </c>
      <c r="D40" s="409">
        <f>设备类申报表!D40</f>
        <v>0</v>
      </c>
      <c r="E40" s="406" t="str">
        <f>设备类申报表!E40</f>
        <v>2006年1月</v>
      </c>
      <c r="F40" s="406">
        <f>设备类申报表!F40</f>
        <v>50</v>
      </c>
      <c r="G40" s="406" t="str">
        <f>设备类申报表!G40</f>
        <v>米</v>
      </c>
      <c r="H40" s="406">
        <f>设备类申报表!H40</f>
        <v>0</v>
      </c>
      <c r="I40" s="406">
        <f>设备类申报表!I40</f>
        <v>0</v>
      </c>
      <c r="J40" s="406" t="str">
        <f>设备类申报表!J40</f>
        <v>厂区</v>
      </c>
      <c r="K40" s="411"/>
      <c r="L40" s="411"/>
      <c r="M40" s="411"/>
      <c r="N40" s="411"/>
      <c r="O40" s="411"/>
      <c r="P40" s="411"/>
    </row>
    <row r="41" spans="1:16">
      <c r="A41" s="406">
        <f>设备类申报表!A41</f>
        <v>37</v>
      </c>
      <c r="B41" s="409" t="str">
        <f>设备类申报表!B41</f>
        <v>B电缆线-4</v>
      </c>
      <c r="C41" s="409">
        <f>设备类申报表!C41</f>
        <v>400</v>
      </c>
      <c r="D41" s="409">
        <f>设备类申报表!D41</f>
        <v>0</v>
      </c>
      <c r="E41" s="406" t="str">
        <f>设备类申报表!E41</f>
        <v>2006年1月</v>
      </c>
      <c r="F41" s="406">
        <f>设备类申报表!F41</f>
        <v>560</v>
      </c>
      <c r="G41" s="406" t="str">
        <f>设备类申报表!G41</f>
        <v>米</v>
      </c>
      <c r="H41" s="406">
        <f>设备类申报表!H41</f>
        <v>0</v>
      </c>
      <c r="I41" s="406">
        <f>设备类申报表!I41</f>
        <v>0</v>
      </c>
      <c r="J41" s="406" t="str">
        <f>设备类申报表!J41</f>
        <v>厂区</v>
      </c>
      <c r="K41" s="411"/>
      <c r="L41" s="411"/>
      <c r="M41" s="411"/>
      <c r="N41" s="411"/>
      <c r="O41" s="411"/>
      <c r="P41" s="411"/>
    </row>
    <row r="42" ht="28.5" spans="1:16">
      <c r="A42" s="406">
        <f>设备类申报表!A42</f>
        <v>38</v>
      </c>
      <c r="B42" s="409" t="str">
        <f>设备类申报表!B42</f>
        <v>1#焊管机-C电缆线</v>
      </c>
      <c r="C42" s="409" t="str">
        <f>设备类申报表!C42</f>
        <v>3*240+120</v>
      </c>
      <c r="D42" s="409">
        <f>设备类申报表!D42</f>
        <v>0</v>
      </c>
      <c r="E42" s="406" t="str">
        <f>设备类申报表!E42</f>
        <v>2006年1月</v>
      </c>
      <c r="F42" s="406">
        <f>设备类申报表!F42</f>
        <v>60</v>
      </c>
      <c r="G42" s="406" t="str">
        <f>设备类申报表!G42</f>
        <v>米</v>
      </c>
      <c r="H42" s="406">
        <f>设备类申报表!H42</f>
        <v>0</v>
      </c>
      <c r="I42" s="406">
        <f>设备类申报表!I42</f>
        <v>0</v>
      </c>
      <c r="J42" s="406" t="str">
        <f>设备类申报表!J42</f>
        <v>厂区</v>
      </c>
      <c r="K42" s="412"/>
      <c r="L42" s="412"/>
      <c r="M42" s="412"/>
      <c r="N42" s="412"/>
      <c r="O42" s="412"/>
      <c r="P42" s="412"/>
    </row>
    <row r="43" ht="28.5" spans="1:16">
      <c r="A43" s="406">
        <f>设备类申报表!A43</f>
        <v>39</v>
      </c>
      <c r="B43" s="409" t="str">
        <f>设备类申报表!B43</f>
        <v>2#焊管机-D电缆线-1</v>
      </c>
      <c r="C43" s="409" t="str">
        <f>设备类申报表!C43</f>
        <v>3*95+50</v>
      </c>
      <c r="D43" s="409">
        <f>设备类申报表!D43</f>
        <v>0</v>
      </c>
      <c r="E43" s="406" t="str">
        <f>设备类申报表!E43</f>
        <v>2006年1月</v>
      </c>
      <c r="F43" s="406">
        <f>设备类申报表!F43</f>
        <v>180</v>
      </c>
      <c r="G43" s="406" t="str">
        <f>设备类申报表!G43</f>
        <v>米</v>
      </c>
      <c r="H43" s="406">
        <f>设备类申报表!H43</f>
        <v>0</v>
      </c>
      <c r="I43" s="406">
        <f>设备类申报表!I43</f>
        <v>0</v>
      </c>
      <c r="J43" s="406" t="str">
        <f>设备类申报表!J43</f>
        <v>厂区</v>
      </c>
      <c r="K43" s="412"/>
      <c r="L43" s="412"/>
      <c r="M43" s="412"/>
      <c r="N43" s="412"/>
      <c r="O43" s="412"/>
      <c r="P43" s="412"/>
    </row>
    <row r="44" ht="28.5" spans="1:16">
      <c r="A44" s="406">
        <f>设备类申报表!A44</f>
        <v>40</v>
      </c>
      <c r="B44" s="409" t="str">
        <f>设备类申报表!B44</f>
        <v>2#焊管机-D电缆线-2</v>
      </c>
      <c r="C44" s="409" t="str">
        <f>设备类申报表!C44</f>
        <v>3*70+35</v>
      </c>
      <c r="D44" s="409">
        <f>设备类申报表!D44</f>
        <v>0</v>
      </c>
      <c r="E44" s="406" t="str">
        <f>设备类申报表!E44</f>
        <v>2006年1月</v>
      </c>
      <c r="F44" s="406">
        <f>设备类申报表!F44</f>
        <v>90</v>
      </c>
      <c r="G44" s="406" t="str">
        <f>设备类申报表!G44</f>
        <v>米</v>
      </c>
      <c r="H44" s="406">
        <f>设备类申报表!H44</f>
        <v>0</v>
      </c>
      <c r="I44" s="406">
        <f>设备类申报表!I44</f>
        <v>0</v>
      </c>
      <c r="J44" s="406" t="str">
        <f>设备类申报表!J44</f>
        <v>厂区</v>
      </c>
      <c r="K44" s="412"/>
      <c r="L44" s="412"/>
      <c r="M44" s="412"/>
      <c r="N44" s="412"/>
      <c r="O44" s="412"/>
      <c r="P44" s="412"/>
    </row>
    <row r="45" ht="28.5" spans="1:16">
      <c r="A45" s="406">
        <f>设备类申报表!A45</f>
        <v>41</v>
      </c>
      <c r="B45" s="409" t="str">
        <f>设备类申报表!B45</f>
        <v>2#焊管机-D电缆线-3</v>
      </c>
      <c r="C45" s="409" t="str">
        <f>设备类申报表!C45</f>
        <v>3*16+6</v>
      </c>
      <c r="D45" s="409">
        <f>设备类申报表!D45</f>
        <v>0</v>
      </c>
      <c r="E45" s="406" t="str">
        <f>设备类申报表!E45</f>
        <v>2006年1月</v>
      </c>
      <c r="F45" s="406">
        <f>设备类申报表!F45</f>
        <v>90</v>
      </c>
      <c r="G45" s="406" t="str">
        <f>设备类申报表!G45</f>
        <v>米</v>
      </c>
      <c r="H45" s="406">
        <f>设备类申报表!H45</f>
        <v>0</v>
      </c>
      <c r="I45" s="406">
        <f>设备类申报表!I45</f>
        <v>0</v>
      </c>
      <c r="J45" s="406" t="str">
        <f>设备类申报表!J45</f>
        <v>厂区</v>
      </c>
      <c r="K45" s="412"/>
      <c r="L45" s="412"/>
      <c r="M45" s="412"/>
      <c r="N45" s="412"/>
      <c r="O45" s="412"/>
      <c r="P45" s="412"/>
    </row>
    <row r="46" ht="28.5" spans="1:16">
      <c r="A46" s="406">
        <f>设备类申报表!A46</f>
        <v>42</v>
      </c>
      <c r="B46" s="409" t="str">
        <f>设备类申报表!B46</f>
        <v>3#焊管机-E电缆线-1</v>
      </c>
      <c r="C46" s="409" t="str">
        <f>设备类申报表!C46</f>
        <v>3*185+95</v>
      </c>
      <c r="D46" s="409">
        <f>设备类申报表!D46</f>
        <v>0</v>
      </c>
      <c r="E46" s="406" t="str">
        <f>设备类申报表!E46</f>
        <v>2006年1月</v>
      </c>
      <c r="F46" s="406">
        <f>设备类申报表!F46</f>
        <v>100</v>
      </c>
      <c r="G46" s="406" t="str">
        <f>设备类申报表!G46</f>
        <v>米</v>
      </c>
      <c r="H46" s="406">
        <f>设备类申报表!H46</f>
        <v>0</v>
      </c>
      <c r="I46" s="406">
        <f>设备类申报表!I46</f>
        <v>0</v>
      </c>
      <c r="J46" s="406" t="str">
        <f>设备类申报表!J46</f>
        <v>厂区</v>
      </c>
      <c r="K46" s="412"/>
      <c r="L46" s="412"/>
      <c r="M46" s="412"/>
      <c r="N46" s="412"/>
      <c r="O46" s="412"/>
      <c r="P46" s="412"/>
    </row>
    <row r="47" ht="28.5" spans="1:16">
      <c r="A47" s="406">
        <f>设备类申报表!A47</f>
        <v>43</v>
      </c>
      <c r="B47" s="409" t="str">
        <f>设备类申报表!B47</f>
        <v>3#焊管机-E电缆线-2</v>
      </c>
      <c r="C47" s="409" t="str">
        <f>设备类申报表!C47</f>
        <v>3*70+35</v>
      </c>
      <c r="D47" s="409">
        <f>设备类申报表!D47</f>
        <v>0</v>
      </c>
      <c r="E47" s="406" t="str">
        <f>设备类申报表!E47</f>
        <v>2006年1月</v>
      </c>
      <c r="F47" s="406">
        <f>设备类申报表!F47</f>
        <v>100</v>
      </c>
      <c r="G47" s="406" t="str">
        <f>设备类申报表!G47</f>
        <v>米</v>
      </c>
      <c r="H47" s="406">
        <f>设备类申报表!H47</f>
        <v>0</v>
      </c>
      <c r="I47" s="406">
        <f>设备类申报表!I47</f>
        <v>0</v>
      </c>
      <c r="J47" s="406" t="str">
        <f>设备类申报表!J47</f>
        <v>厂区</v>
      </c>
      <c r="K47" s="412"/>
      <c r="L47" s="412"/>
      <c r="M47" s="412"/>
      <c r="N47" s="412"/>
      <c r="O47" s="412"/>
      <c r="P47" s="412"/>
    </row>
    <row r="48" ht="28.5" spans="1:16">
      <c r="A48" s="406">
        <f>设备类申报表!A48</f>
        <v>44</v>
      </c>
      <c r="B48" s="409" t="str">
        <f>设备类申报表!B48</f>
        <v>3#焊管机-E电缆线-3</v>
      </c>
      <c r="C48" s="409" t="str">
        <f>设备类申报表!C48</f>
        <v>3*16+6</v>
      </c>
      <c r="D48" s="409">
        <f>设备类申报表!D48</f>
        <v>0</v>
      </c>
      <c r="E48" s="406" t="str">
        <f>设备类申报表!E48</f>
        <v>2006年1月</v>
      </c>
      <c r="F48" s="406">
        <f>设备类申报表!F48</f>
        <v>100</v>
      </c>
      <c r="G48" s="406" t="str">
        <f>设备类申报表!G48</f>
        <v>米</v>
      </c>
      <c r="H48" s="406">
        <f>设备类申报表!H48</f>
        <v>0</v>
      </c>
      <c r="I48" s="406">
        <f>设备类申报表!I48</f>
        <v>0</v>
      </c>
      <c r="J48" s="406" t="str">
        <f>设备类申报表!J48</f>
        <v>厂区</v>
      </c>
      <c r="K48" s="412"/>
      <c r="L48" s="412"/>
      <c r="M48" s="412"/>
      <c r="N48" s="412"/>
      <c r="O48" s="412"/>
      <c r="P48" s="412"/>
    </row>
    <row r="49" ht="28.5" spans="1:16">
      <c r="A49" s="406">
        <f>设备类申报表!A49</f>
        <v>45</v>
      </c>
      <c r="B49" s="409" t="str">
        <f>设备类申报表!B49</f>
        <v>4#焊管机-F电缆线-1</v>
      </c>
      <c r="C49" s="409" t="str">
        <f>设备类申报表!C49</f>
        <v>3*150+70</v>
      </c>
      <c r="D49" s="409">
        <f>设备类申报表!D49</f>
        <v>0</v>
      </c>
      <c r="E49" s="406" t="str">
        <f>设备类申报表!E49</f>
        <v>2006年1月</v>
      </c>
      <c r="F49" s="406">
        <f>设备类申报表!F49</f>
        <v>110</v>
      </c>
      <c r="G49" s="406" t="str">
        <f>设备类申报表!G49</f>
        <v>米</v>
      </c>
      <c r="H49" s="406">
        <f>设备类申报表!H49</f>
        <v>0</v>
      </c>
      <c r="I49" s="406">
        <f>设备类申报表!I49</f>
        <v>0</v>
      </c>
      <c r="J49" s="406" t="str">
        <f>设备类申报表!J49</f>
        <v>厂区</v>
      </c>
      <c r="K49" s="412"/>
      <c r="L49" s="412"/>
      <c r="M49" s="412"/>
      <c r="N49" s="412"/>
      <c r="O49" s="412"/>
      <c r="P49" s="412"/>
    </row>
    <row r="50" ht="28.5" spans="1:16">
      <c r="A50" s="406">
        <f>设备类申报表!A50</f>
        <v>46</v>
      </c>
      <c r="B50" s="409" t="str">
        <f>设备类申报表!B50</f>
        <v>4#焊管机-F电缆线-2</v>
      </c>
      <c r="C50" s="409" t="str">
        <f>设备类申报表!C50</f>
        <v>3*50+25</v>
      </c>
      <c r="D50" s="409">
        <f>设备类申报表!D50</f>
        <v>0</v>
      </c>
      <c r="E50" s="406" t="str">
        <f>设备类申报表!E50</f>
        <v>2006年1月</v>
      </c>
      <c r="F50" s="406">
        <f>设备类申报表!F50</f>
        <v>110</v>
      </c>
      <c r="G50" s="406" t="str">
        <f>设备类申报表!G50</f>
        <v>米</v>
      </c>
      <c r="H50" s="406">
        <f>设备类申报表!H50</f>
        <v>0</v>
      </c>
      <c r="I50" s="406">
        <f>设备类申报表!I50</f>
        <v>0</v>
      </c>
      <c r="J50" s="406" t="str">
        <f>设备类申报表!J50</f>
        <v>厂区</v>
      </c>
      <c r="K50" s="412"/>
      <c r="L50" s="412"/>
      <c r="M50" s="412"/>
      <c r="N50" s="412"/>
      <c r="O50" s="412"/>
      <c r="P50" s="412"/>
    </row>
    <row r="51" ht="28.5" spans="1:16">
      <c r="A51" s="406">
        <f>设备类申报表!A51</f>
        <v>47</v>
      </c>
      <c r="B51" s="409" t="str">
        <f>设备类申报表!B51</f>
        <v>4#焊管机-F电缆线-3</v>
      </c>
      <c r="C51" s="409" t="str">
        <f>设备类申报表!C51</f>
        <v>3*16+6</v>
      </c>
      <c r="D51" s="409">
        <f>设备类申报表!D51</f>
        <v>0</v>
      </c>
      <c r="E51" s="406" t="str">
        <f>设备类申报表!E51</f>
        <v>2006年1月</v>
      </c>
      <c r="F51" s="406">
        <f>设备类申报表!F51</f>
        <v>110</v>
      </c>
      <c r="G51" s="406" t="str">
        <f>设备类申报表!G51</f>
        <v>米</v>
      </c>
      <c r="H51" s="406">
        <f>设备类申报表!H51</f>
        <v>0</v>
      </c>
      <c r="I51" s="406">
        <f>设备类申报表!I51</f>
        <v>0</v>
      </c>
      <c r="J51" s="406" t="str">
        <f>设备类申报表!J51</f>
        <v>厂区</v>
      </c>
      <c r="K51" s="412"/>
      <c r="L51" s="412"/>
      <c r="M51" s="412"/>
      <c r="N51" s="412"/>
      <c r="O51" s="412"/>
      <c r="P51" s="412"/>
    </row>
    <row r="52" spans="1:16">
      <c r="A52" s="406">
        <f>设备类申报表!A52</f>
        <v>48</v>
      </c>
      <c r="B52" s="409" t="str">
        <f>设备类申报表!B52</f>
        <v>办公楼-G电缆线</v>
      </c>
      <c r="C52" s="409" t="str">
        <f>设备类申报表!C52</f>
        <v>3*50+35</v>
      </c>
      <c r="D52" s="409">
        <f>设备类申报表!D52</f>
        <v>0</v>
      </c>
      <c r="E52" s="406" t="str">
        <f>设备类申报表!E52</f>
        <v>2006年1月</v>
      </c>
      <c r="F52" s="406">
        <f>设备类申报表!F52</f>
        <v>30</v>
      </c>
      <c r="G52" s="406" t="str">
        <f>设备类申报表!G52</f>
        <v>米</v>
      </c>
      <c r="H52" s="406">
        <f>设备类申报表!H52</f>
        <v>0</v>
      </c>
      <c r="I52" s="406">
        <f>设备类申报表!I52</f>
        <v>0</v>
      </c>
      <c r="J52" s="406" t="str">
        <f>设备类申报表!J52</f>
        <v>厂区</v>
      </c>
      <c r="K52" s="412"/>
      <c r="L52" s="412"/>
      <c r="M52" s="412"/>
      <c r="N52" s="412"/>
      <c r="O52" s="412"/>
      <c r="P52" s="412"/>
    </row>
    <row r="53" spans="1:16">
      <c r="A53" s="406">
        <f>设备类申报表!A53</f>
        <v>49</v>
      </c>
      <c r="B53" s="409" t="str">
        <f>设备类申报表!B53</f>
        <v>分剪机-H电缆线</v>
      </c>
      <c r="C53" s="409" t="str">
        <f>设备类申报表!C53</f>
        <v>3*70+35</v>
      </c>
      <c r="D53" s="409">
        <f>设备类申报表!D53</f>
        <v>0</v>
      </c>
      <c r="E53" s="406" t="str">
        <f>设备类申报表!E53</f>
        <v>2006年1月</v>
      </c>
      <c r="F53" s="406">
        <f>设备类申报表!F53</f>
        <v>30</v>
      </c>
      <c r="G53" s="406" t="str">
        <f>设备类申报表!G53</f>
        <v>米</v>
      </c>
      <c r="H53" s="406">
        <f>设备类申报表!H53</f>
        <v>0</v>
      </c>
      <c r="I53" s="406">
        <f>设备类申报表!I53</f>
        <v>0</v>
      </c>
      <c r="J53" s="406" t="str">
        <f>设备类申报表!J53</f>
        <v>厂区</v>
      </c>
      <c r="K53" s="412"/>
      <c r="L53" s="412"/>
      <c r="M53" s="412"/>
      <c r="N53" s="412"/>
      <c r="O53" s="412"/>
      <c r="P53" s="412"/>
    </row>
    <row r="54" spans="1:16">
      <c r="A54" s="406">
        <f>设备类申报表!A54</f>
        <v>50</v>
      </c>
      <c r="B54" s="409" t="str">
        <f>设备类申报表!B54</f>
        <v>空压机电缆线</v>
      </c>
      <c r="C54" s="409" t="str">
        <f>设备类申报表!C54</f>
        <v>3*16+6</v>
      </c>
      <c r="D54" s="409">
        <f>设备类申报表!D54</f>
        <v>0</v>
      </c>
      <c r="E54" s="406" t="str">
        <f>设备类申报表!E54</f>
        <v>2006年1月</v>
      </c>
      <c r="F54" s="406">
        <f>设备类申报表!F54</f>
        <v>112</v>
      </c>
      <c r="G54" s="406" t="str">
        <f>设备类申报表!G54</f>
        <v>米</v>
      </c>
      <c r="H54" s="406">
        <f>设备类申报表!H54</f>
        <v>0</v>
      </c>
      <c r="I54" s="406">
        <f>设备类申报表!I54</f>
        <v>0</v>
      </c>
      <c r="J54" s="406" t="str">
        <f>设备类申报表!J54</f>
        <v>厂区</v>
      </c>
      <c r="K54" s="412"/>
      <c r="L54" s="412"/>
      <c r="M54" s="412"/>
      <c r="N54" s="412"/>
      <c r="O54" s="412"/>
      <c r="P54" s="412"/>
    </row>
    <row r="55" spans="1:16">
      <c r="A55" s="406">
        <f>设备类申报表!A55</f>
        <v>51</v>
      </c>
      <c r="B55" s="409" t="str">
        <f>设备类申报表!B55</f>
        <v>空压机电缆线</v>
      </c>
      <c r="C55" s="409" t="str">
        <f>设备类申报表!C55</f>
        <v>3*10+4</v>
      </c>
      <c r="D55" s="409">
        <f>设备类申报表!D55</f>
        <v>0</v>
      </c>
      <c r="E55" s="406" t="str">
        <f>设备类申报表!E55</f>
        <v>2006年1月</v>
      </c>
      <c r="F55" s="406">
        <f>设备类申报表!F55</f>
        <v>112</v>
      </c>
      <c r="G55" s="406" t="str">
        <f>设备类申报表!G55</f>
        <v>米</v>
      </c>
      <c r="H55" s="406">
        <f>设备类申报表!H55</f>
        <v>0</v>
      </c>
      <c r="I55" s="406">
        <f>设备类申报表!I55</f>
        <v>0</v>
      </c>
      <c r="J55" s="406" t="str">
        <f>设备类申报表!J55</f>
        <v>厂区</v>
      </c>
      <c r="K55" s="412"/>
      <c r="L55" s="412"/>
      <c r="M55" s="412"/>
      <c r="N55" s="412"/>
      <c r="O55" s="412"/>
      <c r="P55" s="412"/>
    </row>
    <row r="56" ht="28.5" spans="1:16">
      <c r="A56" s="406">
        <f>设备类申报表!A56</f>
        <v>52</v>
      </c>
      <c r="B56" s="409" t="str">
        <f>设备类申报表!B56</f>
        <v>变电柜-墙面配电箱电缆线</v>
      </c>
      <c r="C56" s="409" t="str">
        <f>设备类申报表!C56</f>
        <v>3*16+6</v>
      </c>
      <c r="D56" s="409">
        <f>设备类申报表!D56</f>
        <v>0</v>
      </c>
      <c r="E56" s="406" t="str">
        <f>设备类申报表!E56</f>
        <v>2006年1月</v>
      </c>
      <c r="F56" s="406">
        <f>设备类申报表!F56</f>
        <v>30</v>
      </c>
      <c r="G56" s="406" t="str">
        <f>设备类申报表!G56</f>
        <v>米</v>
      </c>
      <c r="H56" s="406">
        <f>设备类申报表!H56</f>
        <v>0</v>
      </c>
      <c r="I56" s="406">
        <f>设备类申报表!I56</f>
        <v>0</v>
      </c>
      <c r="J56" s="406" t="str">
        <f>设备类申报表!J56</f>
        <v>厂区</v>
      </c>
      <c r="K56" s="412"/>
      <c r="L56" s="412"/>
      <c r="M56" s="412"/>
      <c r="N56" s="412"/>
      <c r="O56" s="412"/>
      <c r="P56" s="412"/>
    </row>
    <row r="57" ht="28.5" spans="1:16">
      <c r="A57" s="406">
        <f>设备类申报表!A57</f>
        <v>53</v>
      </c>
      <c r="B57" s="409" t="str">
        <f>设备类申报表!B57</f>
        <v>变电站变压器（含配电柜）</v>
      </c>
      <c r="C57" s="409" t="str">
        <f>设备类申报表!C57</f>
        <v>800KAV</v>
      </c>
      <c r="D57" s="409">
        <f>设备类申报表!D57</f>
        <v>0</v>
      </c>
      <c r="E57" s="406" t="str">
        <f>设备类申报表!E57</f>
        <v>2005年1月</v>
      </c>
      <c r="F57" s="406">
        <f>设备类申报表!F57</f>
        <v>1</v>
      </c>
      <c r="G57" s="406" t="str">
        <f>设备类申报表!G57</f>
        <v>只</v>
      </c>
      <c r="H57" s="406">
        <f>设备类申报表!H78</f>
        <v>0</v>
      </c>
      <c r="I57" s="406">
        <f>设备类申报表!I78</f>
        <v>0</v>
      </c>
      <c r="J57" s="406" t="str">
        <f>设备类申报表!J57</f>
        <v>变电站</v>
      </c>
      <c r="K57" s="412"/>
      <c r="L57" s="412"/>
      <c r="M57" s="412"/>
      <c r="N57" s="412"/>
      <c r="O57" s="412"/>
      <c r="P57" s="412"/>
    </row>
    <row r="58" ht="28.5" spans="1:16">
      <c r="A58" s="406">
        <f>设备类申报表!A58</f>
        <v>54</v>
      </c>
      <c r="B58" s="409" t="str">
        <f>设备类申报表!B58</f>
        <v>变电站变压器（含配电柜）</v>
      </c>
      <c r="C58" s="409" t="str">
        <f>设备类申报表!C58</f>
        <v>800KAV</v>
      </c>
      <c r="D58" s="409"/>
      <c r="E58" s="406" t="str">
        <f>设备类申报表!E58</f>
        <v>2006年1月</v>
      </c>
      <c r="F58" s="406">
        <v>1</v>
      </c>
      <c r="G58" s="406" t="str">
        <f>设备类申报表!G58</f>
        <v>只</v>
      </c>
      <c r="H58" s="406"/>
      <c r="I58" s="406"/>
      <c r="J58" s="406" t="str">
        <f>设备类申报表!J58</f>
        <v>变电站</v>
      </c>
      <c r="K58" s="412"/>
      <c r="L58" s="412"/>
      <c r="M58" s="412"/>
      <c r="N58" s="412"/>
      <c r="O58" s="412"/>
      <c r="P58" s="412"/>
    </row>
    <row r="59" ht="28.5" spans="1:16">
      <c r="A59" s="406">
        <f>设备类申报表!A59</f>
        <v>55</v>
      </c>
      <c r="B59" s="409" t="str">
        <f>设备类申报表!B59</f>
        <v>变电站变压器（含配电柜）</v>
      </c>
      <c r="C59" s="409" t="str">
        <f>设备类申报表!C59</f>
        <v>630KAV</v>
      </c>
      <c r="D59" s="409">
        <f>设备类申报表!D59</f>
        <v>0</v>
      </c>
      <c r="E59" s="406" t="str">
        <f>设备类申报表!E59</f>
        <v>2006年1月</v>
      </c>
      <c r="F59" s="406">
        <f>设备类申报表!F59</f>
        <v>1</v>
      </c>
      <c r="G59" s="406" t="str">
        <f>设备类申报表!G59</f>
        <v>只</v>
      </c>
      <c r="H59" s="406"/>
      <c r="I59" s="406"/>
      <c r="J59" s="406" t="str">
        <f>设备类申报表!J59</f>
        <v>变电站</v>
      </c>
      <c r="K59" s="412"/>
      <c r="L59" s="412"/>
      <c r="M59" s="412"/>
      <c r="N59" s="412"/>
      <c r="O59" s="412"/>
      <c r="P59" s="412"/>
    </row>
    <row r="60" spans="1:16">
      <c r="A60" s="406">
        <f>设备类申报表!A60</f>
        <v>56</v>
      </c>
      <c r="B60" s="409" t="str">
        <f>设备类申报表!B60</f>
        <v>车间配电柜</v>
      </c>
      <c r="C60" s="409">
        <f>设备类申报表!C60</f>
        <v>0</v>
      </c>
      <c r="D60" s="409">
        <f>设备类申报表!D60</f>
        <v>0</v>
      </c>
      <c r="E60" s="406" t="str">
        <f>设备类申报表!E60</f>
        <v>2006年1月</v>
      </c>
      <c r="F60" s="406">
        <f>设备类申报表!F60</f>
        <v>12</v>
      </c>
      <c r="G60" s="406" t="str">
        <f>设备类申报表!G60</f>
        <v>门</v>
      </c>
      <c r="H60" s="406"/>
      <c r="I60" s="406"/>
      <c r="J60" s="406" t="str">
        <f>设备类申报表!J60</f>
        <v>厂区</v>
      </c>
      <c r="K60" s="412"/>
      <c r="L60" s="412"/>
      <c r="M60" s="412"/>
      <c r="N60" s="412"/>
      <c r="O60" s="412"/>
      <c r="P60" s="412"/>
    </row>
    <row r="61" spans="1:16">
      <c r="A61" s="406">
        <f>设备类申报表!A61</f>
        <v>57</v>
      </c>
      <c r="B61" s="409" t="str">
        <f>设备类申报表!B61</f>
        <v>车间配电箱</v>
      </c>
      <c r="C61" s="409">
        <f>设备类申报表!C61</f>
        <v>0</v>
      </c>
      <c r="D61" s="409">
        <f>设备类申报表!D61</f>
        <v>0</v>
      </c>
      <c r="E61" s="406" t="str">
        <f>设备类申报表!E61</f>
        <v>2006年1月</v>
      </c>
      <c r="F61" s="406">
        <f>设备类申报表!F61</f>
        <v>16</v>
      </c>
      <c r="G61" s="406" t="str">
        <f>设备类申报表!G61</f>
        <v>只</v>
      </c>
      <c r="H61" s="406"/>
      <c r="I61" s="406"/>
      <c r="J61" s="406" t="str">
        <f>设备类申报表!J61</f>
        <v>厂区</v>
      </c>
      <c r="K61" s="412"/>
      <c r="L61" s="412"/>
      <c r="M61" s="412"/>
      <c r="N61" s="412"/>
      <c r="O61" s="412"/>
      <c r="P61" s="412"/>
    </row>
    <row r="62" spans="1:16">
      <c r="A62" s="406">
        <f>设备类申报表!A62</f>
        <v>58</v>
      </c>
      <c r="B62" s="409" t="str">
        <f>设备类申报表!B62</f>
        <v>监控</v>
      </c>
      <c r="C62" s="409">
        <f>设备类申报表!C62</f>
        <v>0</v>
      </c>
      <c r="D62" s="409">
        <f>设备类申报表!D62</f>
        <v>0</v>
      </c>
      <c r="E62" s="406" t="str">
        <f>设备类申报表!E62</f>
        <v>2015年1月</v>
      </c>
      <c r="F62" s="406">
        <f>设备类申报表!F62</f>
        <v>1</v>
      </c>
      <c r="G62" s="406" t="str">
        <f>设备类申报表!G62</f>
        <v>套</v>
      </c>
      <c r="H62" s="406"/>
      <c r="I62" s="406"/>
      <c r="J62" s="406" t="str">
        <f>设备类申报表!J62</f>
        <v>厂区</v>
      </c>
      <c r="K62" s="412"/>
      <c r="L62" s="412"/>
      <c r="M62" s="412"/>
      <c r="N62" s="412"/>
      <c r="O62" s="412"/>
      <c r="P62" s="412"/>
    </row>
    <row r="63" spans="1:16">
      <c r="A63" s="406">
        <f>设备类申报表!A63</f>
        <v>59</v>
      </c>
      <c r="B63" s="409" t="str">
        <f>设备类申报表!B63</f>
        <v>沟槽</v>
      </c>
      <c r="C63" s="409" t="str">
        <f>设备类申报表!C63</f>
        <v>500×80</v>
      </c>
      <c r="D63" s="409">
        <f>设备类申报表!D63</f>
        <v>0</v>
      </c>
      <c r="E63" s="406" t="str">
        <f>设备类申报表!E63</f>
        <v>2006年1月</v>
      </c>
      <c r="F63" s="406">
        <f>设备类申报表!F63</f>
        <v>54</v>
      </c>
      <c r="G63" s="406" t="str">
        <f>设备类申报表!G63</f>
        <v>米</v>
      </c>
      <c r="H63" s="406"/>
      <c r="I63" s="406"/>
      <c r="J63" s="406" t="str">
        <f>设备类申报表!J63</f>
        <v>北面厂区北</v>
      </c>
      <c r="K63" s="412"/>
      <c r="L63" s="412"/>
      <c r="M63" s="412"/>
      <c r="N63" s="412"/>
      <c r="O63" s="412"/>
      <c r="P63" s="412"/>
    </row>
    <row r="64" spans="1:16">
      <c r="A64" s="406">
        <f>设备类申报表!A64</f>
        <v>60</v>
      </c>
      <c r="B64" s="409" t="str">
        <f>设备类申报表!B64</f>
        <v>沟槽</v>
      </c>
      <c r="C64" s="409" t="str">
        <f>设备类申报表!C64</f>
        <v>500×80</v>
      </c>
      <c r="D64" s="409">
        <f>设备类申报表!D64</f>
        <v>0</v>
      </c>
      <c r="E64" s="406" t="str">
        <f>设备类申报表!E64</f>
        <v>2006年1月</v>
      </c>
      <c r="F64" s="406">
        <f>设备类申报表!F64</f>
        <v>36</v>
      </c>
      <c r="G64" s="406" t="str">
        <f>设备类申报表!G64</f>
        <v>米</v>
      </c>
      <c r="H64" s="406"/>
      <c r="I64" s="406"/>
      <c r="J64" s="406" t="str">
        <f>设备类申报表!J64</f>
        <v>中间厂区西</v>
      </c>
      <c r="K64" s="412"/>
      <c r="L64" s="412"/>
      <c r="M64" s="412"/>
      <c r="N64" s="412"/>
      <c r="O64" s="412"/>
      <c r="P64" s="412"/>
    </row>
    <row r="65" spans="1:16">
      <c r="A65" s="406">
        <f>设备类申报表!A65</f>
        <v>61</v>
      </c>
      <c r="B65" s="409" t="str">
        <f>设备类申报表!B65</f>
        <v>沟槽</v>
      </c>
      <c r="C65" s="409" t="str">
        <f>设备类申报表!C65</f>
        <v>500×80</v>
      </c>
      <c r="D65" s="409">
        <f>设备类申报表!D65</f>
        <v>0</v>
      </c>
      <c r="E65" s="406" t="str">
        <f>设备类申报表!E65</f>
        <v>2006年1月</v>
      </c>
      <c r="F65" s="406">
        <f>设备类申报表!F65</f>
        <v>20</v>
      </c>
      <c r="G65" s="406" t="str">
        <f>设备类申报表!G65</f>
        <v>米</v>
      </c>
      <c r="H65" s="406"/>
      <c r="I65" s="406"/>
      <c r="J65" s="406" t="str">
        <f>设备类申报表!J65</f>
        <v>中间厂区东</v>
      </c>
      <c r="K65" s="412"/>
      <c r="L65" s="412"/>
      <c r="M65" s="412"/>
      <c r="N65" s="412"/>
      <c r="O65" s="412"/>
      <c r="P65" s="412"/>
    </row>
    <row r="66" spans="1:16">
      <c r="A66" s="406">
        <f>设备类申报表!A66</f>
        <v>62</v>
      </c>
      <c r="B66" s="409" t="str">
        <f>设备类申报表!B66</f>
        <v>沟槽</v>
      </c>
      <c r="C66" s="409" t="str">
        <f>设备类申报表!C66</f>
        <v>500×80</v>
      </c>
      <c r="D66" s="409">
        <f>设备类申报表!D66</f>
        <v>0</v>
      </c>
      <c r="E66" s="406" t="str">
        <f>设备类申报表!E66</f>
        <v>2006年1月</v>
      </c>
      <c r="F66" s="406">
        <f>设备类申报表!F66</f>
        <v>54</v>
      </c>
      <c r="G66" s="406" t="str">
        <f>设备类申报表!G66</f>
        <v>米</v>
      </c>
      <c r="H66" s="406"/>
      <c r="I66" s="406"/>
      <c r="J66" s="406" t="str">
        <f>设备类申报表!J66</f>
        <v>南面厂区北</v>
      </c>
      <c r="K66" s="412"/>
      <c r="L66" s="412"/>
      <c r="M66" s="412"/>
      <c r="N66" s="412"/>
      <c r="O66" s="412"/>
      <c r="P66" s="412"/>
    </row>
    <row r="67" spans="1:16">
      <c r="A67" s="406">
        <f>设备类申报表!A67</f>
        <v>63</v>
      </c>
      <c r="B67" s="409" t="str">
        <f>设备类申报表!B67</f>
        <v>沟槽</v>
      </c>
      <c r="C67" s="409" t="str">
        <f>设备类申报表!C67</f>
        <v>500×80</v>
      </c>
      <c r="D67" s="409">
        <f>设备类申报表!D67</f>
        <v>0</v>
      </c>
      <c r="E67" s="406" t="str">
        <f>设备类申报表!E67</f>
        <v>2006年1月</v>
      </c>
      <c r="F67" s="406">
        <f>设备类申报表!F67</f>
        <v>54</v>
      </c>
      <c r="G67" s="406" t="str">
        <f>设备类申报表!G67</f>
        <v>米</v>
      </c>
      <c r="H67" s="406"/>
      <c r="I67" s="406"/>
      <c r="J67" s="406" t="str">
        <f>设备类申报表!J67</f>
        <v>南面厂区南</v>
      </c>
      <c r="K67" s="412"/>
      <c r="L67" s="412"/>
      <c r="M67" s="412"/>
      <c r="N67" s="412"/>
      <c r="O67" s="412"/>
      <c r="P67" s="412"/>
    </row>
    <row r="68" spans="1:16">
      <c r="A68" s="406">
        <f>设备类申报表!A68</f>
        <v>64</v>
      </c>
      <c r="B68" s="409" t="str">
        <f>设备类申报表!B68</f>
        <v>沟槽</v>
      </c>
      <c r="C68" s="409" t="str">
        <f>设备类申报表!C68</f>
        <v>500×80</v>
      </c>
      <c r="D68" s="409">
        <f>设备类申报表!D68</f>
        <v>0</v>
      </c>
      <c r="E68" s="406" t="str">
        <f>设备类申报表!E68</f>
        <v>2006年1月</v>
      </c>
      <c r="F68" s="406">
        <f>设备类申报表!F68</f>
        <v>50</v>
      </c>
      <c r="G68" s="406" t="str">
        <f>设备类申报表!G68</f>
        <v>米</v>
      </c>
      <c r="H68" s="406"/>
      <c r="I68" s="406"/>
      <c r="J68" s="406" t="str">
        <f>设备类申报表!J68</f>
        <v>西面门口</v>
      </c>
      <c r="K68" s="412"/>
      <c r="L68" s="412"/>
      <c r="M68" s="412"/>
      <c r="N68" s="412"/>
      <c r="O68" s="412"/>
      <c r="P68" s="412"/>
    </row>
    <row r="69" spans="1:16">
      <c r="A69" s="406">
        <f>设备类申报表!A69</f>
        <v>65</v>
      </c>
      <c r="B69" s="409" t="str">
        <f>设备类申报表!B69</f>
        <v>管道PVC</v>
      </c>
      <c r="C69" s="409" t="str">
        <f>设备类申报表!C69</f>
        <v>φ100mm</v>
      </c>
      <c r="D69" s="409">
        <f>设备类申报表!D69</f>
        <v>0</v>
      </c>
      <c r="E69" s="406" t="str">
        <f>设备类申报表!E69</f>
        <v>2006年1月</v>
      </c>
      <c r="F69" s="406">
        <f>设备类申报表!F69</f>
        <v>140</v>
      </c>
      <c r="G69" s="406" t="str">
        <f>设备类申报表!G69</f>
        <v>米</v>
      </c>
      <c r="H69" s="406"/>
      <c r="I69" s="406"/>
      <c r="J69" s="406" t="str">
        <f>设备类申报表!J69</f>
        <v>厂区</v>
      </c>
      <c r="K69" s="412"/>
      <c r="L69" s="412"/>
      <c r="M69" s="412"/>
      <c r="N69" s="412"/>
      <c r="O69" s="412"/>
      <c r="P69" s="412"/>
    </row>
    <row r="70" spans="1:16">
      <c r="A70" s="406">
        <f>设备类申报表!A70</f>
        <v>66</v>
      </c>
      <c r="B70" s="409" t="str">
        <f>设备类申报表!B70</f>
        <v>管道镀锌管</v>
      </c>
      <c r="C70" s="409" t="str">
        <f>设备类申报表!C70</f>
        <v>φ60mm</v>
      </c>
      <c r="D70" s="409">
        <f>设备类申报表!D70</f>
        <v>0</v>
      </c>
      <c r="E70" s="406" t="str">
        <f>设备类申报表!E70</f>
        <v>2006年1月</v>
      </c>
      <c r="F70" s="406">
        <f>设备类申报表!F70</f>
        <v>330</v>
      </c>
      <c r="G70" s="406" t="str">
        <f>设备类申报表!G70</f>
        <v>米</v>
      </c>
      <c r="H70" s="406"/>
      <c r="I70" s="406"/>
      <c r="J70" s="406" t="str">
        <f>设备类申报表!J70</f>
        <v>厂区</v>
      </c>
      <c r="K70" s="412"/>
      <c r="L70" s="412"/>
      <c r="M70" s="412"/>
      <c r="N70" s="412"/>
      <c r="O70" s="412"/>
      <c r="P70" s="412"/>
    </row>
    <row r="71" spans="1:16">
      <c r="A71" s="406">
        <f>设备类申报表!A71</f>
        <v>67</v>
      </c>
      <c r="B71" s="409" t="str">
        <f>设备类申报表!B71</f>
        <v>冷却池1</v>
      </c>
      <c r="C71" s="409">
        <f>设备类申报表!C71</f>
        <v>0</v>
      </c>
      <c r="D71" s="409">
        <f>设备类申报表!D71</f>
        <v>0</v>
      </c>
      <c r="E71" s="406">
        <f>设备类申报表!E71</f>
        <v>38353</v>
      </c>
      <c r="F71" s="406">
        <f>设备类申报表!F71</f>
        <v>30</v>
      </c>
      <c r="G71" s="406" t="str">
        <f>设备类申报表!G71</f>
        <v>m³</v>
      </c>
      <c r="H71" s="406"/>
      <c r="I71" s="406"/>
      <c r="J71" s="406" t="str">
        <f>设备类申报表!J71</f>
        <v>厂区</v>
      </c>
      <c r="K71" s="412"/>
      <c r="L71" s="412"/>
      <c r="M71" s="412"/>
      <c r="N71" s="412"/>
      <c r="O71" s="412"/>
      <c r="P71" s="412"/>
    </row>
    <row r="72" spans="1:16">
      <c r="A72" s="406">
        <f>设备类申报表!A72</f>
        <v>68</v>
      </c>
      <c r="B72" s="409" t="str">
        <f>设备类申报表!B72</f>
        <v>冷却池2</v>
      </c>
      <c r="C72" s="409">
        <f>设备类申报表!C72</f>
        <v>0</v>
      </c>
      <c r="D72" s="409">
        <f>设备类申报表!D72</f>
        <v>0</v>
      </c>
      <c r="E72" s="406">
        <f>设备类申报表!E72</f>
        <v>38353</v>
      </c>
      <c r="F72" s="406">
        <f>设备类申报表!F72</f>
        <v>23</v>
      </c>
      <c r="G72" s="406" t="str">
        <f>设备类申报表!G72</f>
        <v>m³</v>
      </c>
      <c r="H72" s="406"/>
      <c r="I72" s="406"/>
      <c r="J72" s="406" t="str">
        <f>设备类申报表!J72</f>
        <v>厂区</v>
      </c>
      <c r="K72" s="412"/>
      <c r="L72" s="412"/>
      <c r="M72" s="412"/>
      <c r="N72" s="412"/>
      <c r="O72" s="412"/>
      <c r="P72" s="412"/>
    </row>
    <row r="73" spans="1:16">
      <c r="A73" s="406">
        <f>设备类申报表!A73</f>
        <v>69</v>
      </c>
      <c r="B73" s="409" t="str">
        <f>设备类申报表!B73</f>
        <v>冷却池3</v>
      </c>
      <c r="C73" s="409">
        <f>设备类申报表!C73</f>
        <v>0</v>
      </c>
      <c r="D73" s="409">
        <f>设备类申报表!D73</f>
        <v>0</v>
      </c>
      <c r="E73" s="406" t="str">
        <f>设备类申报表!E73</f>
        <v>2006年1月</v>
      </c>
      <c r="F73" s="406">
        <f>设备类申报表!F73</f>
        <v>19</v>
      </c>
      <c r="G73" s="406" t="str">
        <f>设备类申报表!G73</f>
        <v>m³</v>
      </c>
      <c r="H73" s="406"/>
      <c r="I73" s="406"/>
      <c r="J73" s="406" t="str">
        <f>设备类申报表!J73</f>
        <v>厂区</v>
      </c>
      <c r="K73" s="412"/>
      <c r="L73" s="412"/>
      <c r="M73" s="412"/>
      <c r="N73" s="412"/>
      <c r="O73" s="412"/>
      <c r="P73" s="412"/>
    </row>
    <row r="74" spans="1:16">
      <c r="A74" s="406">
        <f>设备类申报表!A74</f>
        <v>70</v>
      </c>
      <c r="B74" s="409" t="str">
        <f>设备类申报表!B74</f>
        <v>冷却塔</v>
      </c>
      <c r="C74" s="409">
        <f>设备类申报表!C74</f>
        <v>0</v>
      </c>
      <c r="D74" s="409">
        <f>设备类申报表!D74</f>
        <v>0</v>
      </c>
      <c r="E74" s="406">
        <f>设备类申报表!E74</f>
        <v>42370</v>
      </c>
      <c r="F74" s="406">
        <f>设备类申报表!F74</f>
        <v>1</v>
      </c>
      <c r="G74" s="406" t="str">
        <f>设备类申报表!G74</f>
        <v>个</v>
      </c>
      <c r="H74" s="406"/>
      <c r="I74" s="406"/>
      <c r="J74" s="406" t="str">
        <f>设备类申报表!J74</f>
        <v>厂区</v>
      </c>
      <c r="K74" s="412"/>
      <c r="L74" s="412"/>
      <c r="M74" s="412"/>
      <c r="N74" s="412"/>
      <c r="O74" s="412"/>
      <c r="P74" s="412"/>
    </row>
    <row r="75" spans="1:16">
      <c r="A75" s="406">
        <f>设备类申报表!A75</f>
        <v>0</v>
      </c>
      <c r="B75" s="409">
        <f>设备类申报表!B75</f>
        <v>0</v>
      </c>
      <c r="C75" s="409">
        <f>设备类申报表!C75</f>
        <v>0</v>
      </c>
      <c r="D75" s="409">
        <f>设备类申报表!D75</f>
        <v>0</v>
      </c>
      <c r="E75" s="406">
        <f>设备类申报表!E75</f>
        <v>0</v>
      </c>
      <c r="F75" s="406">
        <f>设备类申报表!F75</f>
        <v>0</v>
      </c>
      <c r="G75" s="406">
        <f>设备类申报表!G75</f>
        <v>0</v>
      </c>
      <c r="H75" s="406"/>
      <c r="I75" s="406"/>
      <c r="J75" s="406">
        <f>设备类申报表!J75</f>
        <v>0</v>
      </c>
      <c r="K75" s="412"/>
      <c r="L75" s="412"/>
      <c r="M75" s="412"/>
      <c r="N75" s="412"/>
      <c r="O75" s="412"/>
      <c r="P75" s="412"/>
    </row>
    <row r="76" spans="1:16">
      <c r="A76" s="406">
        <f>设备类申报表!A76</f>
        <v>0</v>
      </c>
      <c r="B76" s="409">
        <f>设备类申报表!B76</f>
        <v>0</v>
      </c>
      <c r="C76" s="409">
        <f>设备类申报表!C76</f>
        <v>0</v>
      </c>
      <c r="D76" s="409">
        <f>设备类申报表!D76</f>
        <v>0</v>
      </c>
      <c r="E76" s="406">
        <f>设备类申报表!E76</f>
        <v>0</v>
      </c>
      <c r="F76" s="406">
        <f>设备类申报表!F76</f>
        <v>0</v>
      </c>
      <c r="G76" s="406">
        <f>设备类申报表!G76</f>
        <v>0</v>
      </c>
      <c r="H76" s="406"/>
      <c r="I76" s="406"/>
      <c r="J76" s="406"/>
      <c r="K76" s="412"/>
      <c r="L76" s="412"/>
      <c r="M76" s="412"/>
      <c r="N76" s="412"/>
      <c r="O76" s="412"/>
      <c r="P76" s="412"/>
    </row>
    <row r="77" spans="1:16">
      <c r="A77" s="406">
        <f>设备类申报表!A77</f>
        <v>0</v>
      </c>
      <c r="B77" s="409">
        <f>设备类申报表!B77</f>
        <v>0</v>
      </c>
      <c r="C77" s="409">
        <f>设备类申报表!C77</f>
        <v>0</v>
      </c>
      <c r="D77" s="409">
        <f>设备类申报表!D77</f>
        <v>0</v>
      </c>
      <c r="E77" s="406">
        <f>设备类申报表!E77</f>
        <v>0</v>
      </c>
      <c r="F77" s="406">
        <f>设备类申报表!F77</f>
        <v>0</v>
      </c>
      <c r="G77" s="406">
        <f>设备类申报表!G77</f>
        <v>0</v>
      </c>
      <c r="H77" s="406"/>
      <c r="I77" s="406"/>
      <c r="J77" s="406"/>
      <c r="K77" s="412"/>
      <c r="L77" s="412"/>
      <c r="M77" s="412"/>
      <c r="N77" s="412"/>
      <c r="O77" s="412"/>
      <c r="P77" s="412"/>
    </row>
    <row r="78" spans="1:16">
      <c r="A78" s="413"/>
      <c r="B78" s="409"/>
      <c r="C78" s="409"/>
      <c r="D78" s="409"/>
      <c r="E78" s="406"/>
      <c r="F78" s="406"/>
      <c r="G78" s="406"/>
      <c r="H78" s="406"/>
      <c r="I78" s="406"/>
      <c r="J78" s="406"/>
      <c r="K78" s="412"/>
      <c r="L78" s="412"/>
      <c r="M78" s="412"/>
      <c r="N78" s="412"/>
      <c r="O78" s="412"/>
      <c r="P78" s="412"/>
    </row>
    <row r="79" spans="1:16">
      <c r="A79" s="413"/>
      <c r="B79" s="414"/>
      <c r="C79" s="414"/>
      <c r="D79" s="414"/>
      <c r="E79" s="412"/>
      <c r="F79" s="412"/>
      <c r="G79" s="412"/>
      <c r="H79" s="412"/>
      <c r="I79" s="412"/>
      <c r="J79" s="412"/>
      <c r="K79" s="412"/>
      <c r="L79" s="412"/>
      <c r="M79" s="412"/>
      <c r="N79" s="412"/>
      <c r="O79" s="412"/>
      <c r="P79" s="412"/>
    </row>
    <row r="80" ht="23.25" customHeight="1" spans="1:10">
      <c r="A80" s="399" t="str">
        <f>设备类申报表!A84</f>
        <v>申报人签字：</v>
      </c>
      <c r="J80" s="400" t="s">
        <v>208</v>
      </c>
    </row>
    <row r="81" ht="21.75" customHeight="1" spans="1:10">
      <c r="A81" s="399" t="str">
        <f>设备类申报表!A85</f>
        <v>申报日期：2017-8-14</v>
      </c>
      <c r="J81" s="400" t="s">
        <v>209</v>
      </c>
    </row>
  </sheetData>
  <mergeCells count="15">
    <mergeCell ref="A1:P1"/>
    <mergeCell ref="D2:J2"/>
    <mergeCell ref="L3:O3"/>
    <mergeCell ref="A3:A4"/>
    <mergeCell ref="B3:B4"/>
    <mergeCell ref="C3:C4"/>
    <mergeCell ref="D3:D4"/>
    <mergeCell ref="E3:E4"/>
    <mergeCell ref="F3:F4"/>
    <mergeCell ref="G3:G4"/>
    <mergeCell ref="H3:H4"/>
    <mergeCell ref="I3:I4"/>
    <mergeCell ref="J3:J4"/>
    <mergeCell ref="K3:K4"/>
    <mergeCell ref="P3:P4"/>
  </mergeCells>
  <printOptions horizontalCentered="1"/>
  <pageMargins left="0.354166666666667" right="0.354166666666667" top="0.786805555555556" bottom="0.590277777777778" header="0.511805555555556" footer="0.511805555555556"/>
  <pageSetup paperSize="9" orientation="landscape" horizontalDpi="6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1"/>
  </sheetPr>
  <dimension ref="B1:L24"/>
  <sheetViews>
    <sheetView workbookViewId="0">
      <selection activeCell="K5" sqref="K5:L5"/>
    </sheetView>
  </sheetViews>
  <sheetFormatPr defaultColWidth="9" defaultRowHeight="25.15" customHeight="1"/>
  <cols>
    <col min="1" max="1" width="2.75" customWidth="1"/>
    <col min="2" max="2" width="7.625" customWidth="1"/>
    <col min="4" max="12" width="8.75" customWidth="1"/>
  </cols>
  <sheetData>
    <row r="1" ht="15" customHeight="1"/>
    <row r="2" customHeight="1" spans="2:12">
      <c r="B2" s="354" t="s">
        <v>215</v>
      </c>
      <c r="C2" s="354"/>
      <c r="D2" s="354"/>
      <c r="E2" s="354"/>
      <c r="F2" s="354"/>
      <c r="G2" s="354"/>
      <c r="H2" s="354"/>
      <c r="I2" s="354"/>
      <c r="J2" s="354"/>
      <c r="K2" s="354"/>
      <c r="L2" s="354"/>
    </row>
    <row r="3" customHeight="1" spans="2:12">
      <c r="B3" s="354"/>
      <c r="C3" s="354"/>
      <c r="D3" s="354"/>
      <c r="E3" s="354"/>
      <c r="F3" s="355" t="str">
        <f>设备类勘察表!D2</f>
        <v>评估基准日：2022年3月17日</v>
      </c>
      <c r="G3" s="355"/>
      <c r="H3" s="355"/>
      <c r="I3" s="354"/>
      <c r="J3" s="354"/>
      <c r="K3" s="354"/>
      <c r="L3" s="354"/>
    </row>
    <row r="4" ht="28.15" customHeight="1" spans="2:12">
      <c r="B4" s="356" t="s">
        <v>216</v>
      </c>
      <c r="C4" s="356" t="str">
        <f>设定!C3</f>
        <v>江阴市金捷利制管有限公司</v>
      </c>
      <c r="D4" s="356"/>
      <c r="E4" s="356"/>
      <c r="F4" s="357"/>
      <c r="H4" s="356"/>
      <c r="I4" s="392"/>
      <c r="J4" s="393"/>
      <c r="K4" s="394" t="s">
        <v>217</v>
      </c>
      <c r="L4" s="394"/>
    </row>
    <row r="5" ht="30" customHeight="1" spans="2:12">
      <c r="B5" s="358" t="s">
        <v>218</v>
      </c>
      <c r="C5" s="359" t="s">
        <v>72</v>
      </c>
      <c r="D5" s="360" t="str">
        <f>设备类勘察表!B5</f>
        <v>焊管机</v>
      </c>
      <c r="E5" s="360"/>
      <c r="F5" s="359" t="s">
        <v>219</v>
      </c>
      <c r="G5" s="361" t="str">
        <f>设备类勘察表!C5</f>
        <v>32机组</v>
      </c>
      <c r="H5" s="362"/>
      <c r="I5" s="364"/>
      <c r="J5" s="359" t="s">
        <v>220</v>
      </c>
      <c r="K5" s="395" t="s">
        <v>221</v>
      </c>
      <c r="L5" s="395"/>
    </row>
    <row r="6" ht="30" customHeight="1" spans="2:12">
      <c r="B6" s="363"/>
      <c r="C6" s="359" t="s">
        <v>222</v>
      </c>
      <c r="D6" s="361" t="str">
        <f>设备类勘察表!J5</f>
        <v>厂区</v>
      </c>
      <c r="E6" s="364"/>
      <c r="F6" s="359" t="s">
        <v>223</v>
      </c>
      <c r="G6" s="361" t="s">
        <v>224</v>
      </c>
      <c r="H6" s="362"/>
      <c r="I6" s="364"/>
      <c r="J6" s="359" t="s">
        <v>225</v>
      </c>
      <c r="K6" s="361" t="s">
        <v>221</v>
      </c>
      <c r="L6" s="364"/>
    </row>
    <row r="7" ht="30" customHeight="1" spans="2:12">
      <c r="B7" s="365"/>
      <c r="C7" s="366" t="s">
        <v>226</v>
      </c>
      <c r="D7" s="361" t="s">
        <v>221</v>
      </c>
      <c r="E7" s="362"/>
      <c r="F7" s="362"/>
      <c r="G7" s="362"/>
      <c r="H7" s="362"/>
      <c r="I7" s="362"/>
      <c r="J7" s="362"/>
      <c r="K7" s="362"/>
      <c r="L7" s="364"/>
    </row>
    <row r="8" ht="30" customHeight="1" spans="2:12">
      <c r="B8" s="367" t="s">
        <v>227</v>
      </c>
      <c r="C8" s="368"/>
      <c r="D8" s="369"/>
      <c r="E8" s="369"/>
      <c r="F8" s="369"/>
      <c r="G8" s="369" t="s">
        <v>228</v>
      </c>
      <c r="H8" s="369"/>
      <c r="I8" s="369"/>
      <c r="J8" s="369"/>
      <c r="K8" s="369"/>
      <c r="L8" s="396"/>
    </row>
    <row r="9" ht="30" customHeight="1" spans="2:12">
      <c r="B9" s="370" t="s">
        <v>229</v>
      </c>
      <c r="C9" s="371"/>
      <c r="D9" s="372" t="s">
        <v>230</v>
      </c>
      <c r="E9" s="372"/>
      <c r="F9" s="373" t="s">
        <v>231</v>
      </c>
      <c r="G9" s="373"/>
      <c r="H9" s="373"/>
      <c r="I9" s="373"/>
      <c r="J9" s="379" t="s">
        <v>221</v>
      </c>
      <c r="K9" s="379"/>
      <c r="L9" s="379"/>
    </row>
    <row r="10" ht="30" customHeight="1" spans="2:12">
      <c r="B10" s="374" t="s">
        <v>232</v>
      </c>
      <c r="C10" s="375"/>
      <c r="D10" s="375"/>
      <c r="E10" s="375"/>
      <c r="F10" s="375"/>
      <c r="G10" s="375"/>
      <c r="H10" s="375"/>
      <c r="I10" s="375"/>
      <c r="J10" s="375"/>
      <c r="K10" s="375"/>
      <c r="L10" s="397"/>
    </row>
    <row r="11" ht="30" customHeight="1" spans="2:12">
      <c r="B11" s="365" t="s">
        <v>233</v>
      </c>
      <c r="C11" s="373" t="s">
        <v>234</v>
      </c>
      <c r="D11" s="359" t="s">
        <v>230</v>
      </c>
      <c r="E11" s="373" t="s">
        <v>235</v>
      </c>
      <c r="F11" s="359" t="s">
        <v>236</v>
      </c>
      <c r="G11" s="373" t="s">
        <v>237</v>
      </c>
      <c r="H11" s="359" t="s">
        <v>236</v>
      </c>
      <c r="I11" s="373" t="s">
        <v>238</v>
      </c>
      <c r="J11" s="359" t="s">
        <v>236</v>
      </c>
      <c r="K11" s="359" t="s">
        <v>239</v>
      </c>
      <c r="L11" s="359" t="s">
        <v>236</v>
      </c>
    </row>
    <row r="12" ht="30" customHeight="1" spans="2:12">
      <c r="B12" s="376" t="s">
        <v>240</v>
      </c>
      <c r="C12" s="373" t="s">
        <v>241</v>
      </c>
      <c r="D12" s="377" t="s">
        <v>221</v>
      </c>
      <c r="E12" s="378" t="s">
        <v>242</v>
      </c>
      <c r="F12" s="377" t="s">
        <v>221</v>
      </c>
      <c r="G12" s="378" t="s">
        <v>243</v>
      </c>
      <c r="H12" s="377" t="s">
        <v>221</v>
      </c>
      <c r="I12" s="372" t="s">
        <v>244</v>
      </c>
      <c r="J12" s="377" t="s">
        <v>221</v>
      </c>
      <c r="K12" s="378" t="s">
        <v>245</v>
      </c>
      <c r="L12" s="377" t="s">
        <v>221</v>
      </c>
    </row>
    <row r="13" ht="30" customHeight="1" spans="2:12">
      <c r="B13" s="376" t="s">
        <v>246</v>
      </c>
      <c r="C13" s="373" t="s">
        <v>247</v>
      </c>
      <c r="D13" s="377" t="s">
        <v>221</v>
      </c>
      <c r="E13" s="378" t="s">
        <v>248</v>
      </c>
      <c r="F13" s="377" t="s">
        <v>221</v>
      </c>
      <c r="G13" s="379"/>
      <c r="H13" s="379"/>
      <c r="I13" s="379"/>
      <c r="J13" s="379"/>
      <c r="K13" s="379"/>
      <c r="L13" s="379"/>
    </row>
    <row r="14" ht="30" customHeight="1" spans="2:12">
      <c r="B14" s="380" t="s">
        <v>249</v>
      </c>
      <c r="C14" s="359" t="s">
        <v>250</v>
      </c>
      <c r="D14" s="359"/>
      <c r="E14" s="359"/>
      <c r="F14" s="359"/>
      <c r="G14" s="359"/>
      <c r="H14" s="359"/>
      <c r="I14" s="359"/>
      <c r="J14" s="359"/>
      <c r="K14" s="359"/>
      <c r="L14" s="359"/>
    </row>
    <row r="15" ht="30" customHeight="1" spans="2:12">
      <c r="B15" s="374" t="s">
        <v>251</v>
      </c>
      <c r="C15" s="375"/>
      <c r="D15" s="375"/>
      <c r="E15" s="375"/>
      <c r="F15" s="375"/>
      <c r="G15" s="375"/>
      <c r="H15" s="375"/>
      <c r="I15" s="375"/>
      <c r="J15" s="375"/>
      <c r="K15" s="375"/>
      <c r="L15" s="397"/>
    </row>
    <row r="16" ht="30" customHeight="1" spans="2:12">
      <c r="B16" s="365" t="s">
        <v>252</v>
      </c>
      <c r="C16" s="364" t="s">
        <v>253</v>
      </c>
      <c r="D16" s="373" t="s">
        <v>254</v>
      </c>
      <c r="E16" s="377" t="s">
        <v>221</v>
      </c>
      <c r="F16" s="373" t="s">
        <v>255</v>
      </c>
      <c r="G16" s="373"/>
      <c r="H16" s="377"/>
      <c r="I16" s="373" t="s">
        <v>256</v>
      </c>
      <c r="J16" s="377"/>
      <c r="K16" s="373" t="s">
        <v>257</v>
      </c>
      <c r="L16" s="379"/>
    </row>
    <row r="17" ht="30" customHeight="1" spans="2:12">
      <c r="B17" s="376" t="s">
        <v>258</v>
      </c>
      <c r="C17" s="364" t="s">
        <v>259</v>
      </c>
      <c r="D17" s="373" t="s">
        <v>260</v>
      </c>
      <c r="E17" s="377"/>
      <c r="F17" s="373" t="s">
        <v>261</v>
      </c>
      <c r="G17" s="373"/>
      <c r="H17" s="377"/>
      <c r="I17" s="373" t="s">
        <v>262</v>
      </c>
      <c r="J17" s="377"/>
      <c r="K17" s="373" t="s">
        <v>263</v>
      </c>
      <c r="L17" s="379"/>
    </row>
    <row r="18" ht="30" customHeight="1" spans="2:12">
      <c r="B18" s="376" t="s">
        <v>264</v>
      </c>
      <c r="C18" s="364"/>
      <c r="D18" s="373" t="s">
        <v>265</v>
      </c>
      <c r="E18" s="359"/>
      <c r="F18" s="359" t="s">
        <v>266</v>
      </c>
      <c r="G18" s="359"/>
      <c r="H18" s="372"/>
      <c r="I18" s="372"/>
      <c r="J18" s="372"/>
      <c r="K18" s="372"/>
      <c r="L18" s="372"/>
    </row>
    <row r="19" ht="30" customHeight="1" spans="2:12">
      <c r="B19" s="380" t="s">
        <v>267</v>
      </c>
      <c r="C19" s="364" t="s">
        <v>268</v>
      </c>
      <c r="D19" s="377"/>
      <c r="E19" s="359" t="s">
        <v>269</v>
      </c>
      <c r="F19" s="359"/>
      <c r="G19" s="372"/>
      <c r="H19" s="372"/>
      <c r="I19" s="372" t="s">
        <v>270</v>
      </c>
      <c r="J19" s="372"/>
      <c r="K19" s="372"/>
      <c r="L19" s="372"/>
    </row>
    <row r="20" ht="30" customHeight="1" spans="2:12">
      <c r="B20" s="381" t="s">
        <v>271</v>
      </c>
      <c r="C20" s="382"/>
      <c r="D20" s="383"/>
      <c r="E20" s="384" t="s">
        <v>272</v>
      </c>
      <c r="F20" s="384" t="s">
        <v>273</v>
      </c>
      <c r="G20" s="385"/>
      <c r="H20" s="384" t="s">
        <v>272</v>
      </c>
      <c r="I20" s="373"/>
      <c r="J20" s="373"/>
      <c r="K20" s="373"/>
      <c r="L20" s="373"/>
    </row>
    <row r="21" ht="30" customHeight="1" spans="2:12">
      <c r="B21" s="386" t="s">
        <v>274</v>
      </c>
      <c r="C21" s="382"/>
      <c r="D21" s="372" t="s">
        <v>275</v>
      </c>
      <c r="E21" s="372"/>
      <c r="F21" s="372"/>
      <c r="G21" s="372"/>
      <c r="H21" s="372"/>
      <c r="I21" s="372"/>
      <c r="J21" s="372"/>
      <c r="K21" s="372"/>
      <c r="L21" s="372"/>
    </row>
    <row r="22" ht="30" customHeight="1" spans="2:12">
      <c r="B22" s="387" t="s">
        <v>276</v>
      </c>
      <c r="C22" s="382"/>
      <c r="D22" s="372" t="s">
        <v>275</v>
      </c>
      <c r="E22" s="372"/>
      <c r="F22" s="372"/>
      <c r="G22" s="372"/>
      <c r="H22" s="372"/>
      <c r="I22" s="372"/>
      <c r="J22" s="372"/>
      <c r="K22" s="372"/>
      <c r="L22" s="372"/>
    </row>
    <row r="23" ht="30" customHeight="1" spans="2:12">
      <c r="B23" s="387" t="s">
        <v>277</v>
      </c>
      <c r="C23" s="382"/>
      <c r="D23" s="372" t="s">
        <v>275</v>
      </c>
      <c r="E23" s="372"/>
      <c r="F23" s="372"/>
      <c r="G23" s="372"/>
      <c r="H23" s="372"/>
      <c r="I23" s="372"/>
      <c r="J23" s="372"/>
      <c r="K23" s="372"/>
      <c r="L23" s="372"/>
    </row>
    <row r="24" ht="30" customHeight="1" spans="2:12">
      <c r="B24" s="388" t="str">
        <f>"被征收人签字："&amp;设定!C3</f>
        <v>被征收人签字：江阴市金捷利制管有限公司</v>
      </c>
      <c r="C24" s="389"/>
      <c r="D24" s="389"/>
      <c r="E24" s="389"/>
      <c r="F24" s="389"/>
      <c r="G24" s="390"/>
      <c r="H24" s="391" t="s">
        <v>278</v>
      </c>
      <c r="I24" s="391"/>
      <c r="J24" s="390"/>
      <c r="K24" s="390"/>
      <c r="L24" s="390"/>
    </row>
  </sheetData>
  <mergeCells count="36">
    <mergeCell ref="B2:L2"/>
    <mergeCell ref="F3:H3"/>
    <mergeCell ref="D5:E5"/>
    <mergeCell ref="G5:I5"/>
    <mergeCell ref="K5:L5"/>
    <mergeCell ref="D6:E6"/>
    <mergeCell ref="G6:I6"/>
    <mergeCell ref="K6:L6"/>
    <mergeCell ref="D7:L7"/>
    <mergeCell ref="B8:C8"/>
    <mergeCell ref="B9:C9"/>
    <mergeCell ref="D9:E9"/>
    <mergeCell ref="F9:I9"/>
    <mergeCell ref="J9:L9"/>
    <mergeCell ref="B10:L10"/>
    <mergeCell ref="D14:L14"/>
    <mergeCell ref="B15:L15"/>
    <mergeCell ref="F16:G16"/>
    <mergeCell ref="F17:G17"/>
    <mergeCell ref="F18:G18"/>
    <mergeCell ref="H18:L18"/>
    <mergeCell ref="E19:F19"/>
    <mergeCell ref="G19:H19"/>
    <mergeCell ref="I19:L19"/>
    <mergeCell ref="B20:C20"/>
    <mergeCell ref="I20:L20"/>
    <mergeCell ref="B21:C21"/>
    <mergeCell ref="D21:L21"/>
    <mergeCell ref="B22:C22"/>
    <mergeCell ref="D22:L22"/>
    <mergeCell ref="B23:C23"/>
    <mergeCell ref="D23:L23"/>
    <mergeCell ref="B24:F24"/>
    <mergeCell ref="H24:L24"/>
    <mergeCell ref="B5:B7"/>
    <mergeCell ref="C17:C18"/>
  </mergeCells>
  <pageMargins left="0.707638888888889" right="0.313888888888889" top="0.747916666666667" bottom="0.747916666666667" header="0.313888888888889" footer="0.313888888888889"/>
  <pageSetup paperSize="9" scale="98"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2:H17"/>
  <sheetViews>
    <sheetView workbookViewId="0">
      <selection activeCell="H19" sqref="H19"/>
    </sheetView>
  </sheetViews>
  <sheetFormatPr defaultColWidth="8.875" defaultRowHeight="25.15" customHeight="1" outlineLevelCol="7"/>
  <cols>
    <col min="1" max="1" width="4.5" style="2" customWidth="1"/>
    <col min="2" max="7" width="8.875" style="2"/>
    <col min="8" max="8" width="34.25" style="2" customWidth="1"/>
    <col min="9" max="16384" width="8.875" style="2"/>
  </cols>
  <sheetData>
    <row r="2" customHeight="1" spans="2:8">
      <c r="B2" s="350" t="s">
        <v>279</v>
      </c>
      <c r="C2" s="350"/>
      <c r="D2" s="350"/>
      <c r="E2" s="350"/>
      <c r="F2" s="350"/>
      <c r="G2" s="350"/>
      <c r="H2" s="350"/>
    </row>
    <row r="3" customHeight="1" spans="2:8">
      <c r="B3" s="350"/>
      <c r="C3" s="350"/>
      <c r="D3" s="350"/>
      <c r="E3" s="350"/>
      <c r="F3" s="350"/>
      <c r="G3" s="350"/>
      <c r="H3" s="350"/>
    </row>
    <row r="4" ht="36" customHeight="1" spans="2:8">
      <c r="B4" s="351" t="s">
        <v>280</v>
      </c>
      <c r="C4" s="351"/>
      <c r="D4" s="351"/>
      <c r="E4" s="351"/>
      <c r="F4" s="351"/>
      <c r="G4" s="351"/>
      <c r="H4" s="351"/>
    </row>
    <row r="5" ht="17" customHeight="1" spans="2:8">
      <c r="B5" s="351"/>
      <c r="C5" s="351"/>
      <c r="D5" s="351"/>
      <c r="E5" s="351"/>
      <c r="F5" s="351"/>
      <c r="G5" s="351"/>
      <c r="H5" s="351"/>
    </row>
    <row r="6" ht="66" customHeight="1" spans="2:8">
      <c r="B6" s="352" t="str">
        <f>"    因征收"&amp;设定!C3&amp;"房屋委托贵公司对该经济行为所涉及的机器设备、物资等于评估基准日"&amp;YEAR(设定!C4)&amp;"年"&amp;MONTH(设定!C4)&amp;"月"&amp;DAY(设定!C4)&amp;"日"&amp;"时搬迁费用的市场价值进行评估。为确保资产评估机构客观、公正、合理地进行资产评估,我单位承诺如下,并承担相应的法律责任："</f>
        <v>    因征收江阴市金捷利制管有限公司房屋委托贵公司对该经济行为所涉及的机器设备、物资等于评估基准日2022年3月17日时搬迁费用的市场价值进行评估。为确保资产评估机构客观、公正、合理地进行资产评估,我单位承诺如下,并承担相应的法律责任：</v>
      </c>
      <c r="C6" s="352"/>
      <c r="D6" s="352"/>
      <c r="E6" s="352"/>
      <c r="F6" s="352"/>
      <c r="G6" s="352"/>
      <c r="H6" s="352"/>
    </row>
    <row r="7" ht="30" customHeight="1" spans="2:8">
      <c r="B7" s="351" t="s">
        <v>281</v>
      </c>
      <c r="C7" s="351"/>
      <c r="D7" s="351"/>
      <c r="E7" s="351"/>
      <c r="F7" s="351"/>
      <c r="G7" s="351"/>
      <c r="H7" s="351"/>
    </row>
    <row r="8" ht="27" customHeight="1" spans="2:8">
      <c r="B8" s="351" t="s">
        <v>282</v>
      </c>
      <c r="C8" s="351"/>
      <c r="D8" s="351"/>
      <c r="E8" s="351"/>
      <c r="F8" s="351"/>
      <c r="G8" s="351"/>
      <c r="H8" s="351"/>
    </row>
    <row r="9" ht="27" customHeight="1" spans="2:8">
      <c r="B9" s="351" t="s">
        <v>283</v>
      </c>
      <c r="C9" s="351"/>
      <c r="D9" s="351"/>
      <c r="E9" s="351"/>
      <c r="F9" s="351"/>
      <c r="G9" s="351"/>
      <c r="H9" s="351"/>
    </row>
    <row r="10" ht="27" customHeight="1" spans="2:8">
      <c r="B10" s="351" t="s">
        <v>284</v>
      </c>
      <c r="C10" s="351"/>
      <c r="D10" s="351"/>
      <c r="E10" s="351"/>
      <c r="F10" s="351"/>
      <c r="G10" s="351"/>
      <c r="H10" s="351"/>
    </row>
    <row r="11" customHeight="1" spans="2:8">
      <c r="B11" s="351"/>
      <c r="C11" s="351"/>
      <c r="D11" s="351"/>
      <c r="E11" s="351"/>
      <c r="F11" s="351"/>
      <c r="G11" s="351"/>
      <c r="H11" s="351"/>
    </row>
    <row r="12" customHeight="1" spans="2:8">
      <c r="B12" s="351"/>
      <c r="C12" s="351"/>
      <c r="D12" s="351"/>
      <c r="E12" s="351"/>
      <c r="F12" s="351"/>
      <c r="G12" s="351"/>
      <c r="H12" s="351"/>
    </row>
    <row r="13" customHeight="1" spans="2:8">
      <c r="B13" s="351"/>
      <c r="C13" s="351"/>
      <c r="D13" s="351"/>
      <c r="E13" s="351"/>
      <c r="F13" s="353" t="str">
        <f>"被征收人（公章）："&amp;设定!C3</f>
        <v>被征收人（公章）：江阴市金捷利制管有限公司</v>
      </c>
      <c r="G13" s="353"/>
      <c r="H13" s="353"/>
    </row>
    <row r="14" customHeight="1" spans="2:8">
      <c r="B14" s="351"/>
      <c r="C14" s="351"/>
      <c r="D14" s="351"/>
      <c r="E14" s="351"/>
      <c r="F14" s="351"/>
      <c r="G14" s="351"/>
      <c r="H14" s="351"/>
    </row>
    <row r="15" customHeight="1" spans="2:8">
      <c r="B15" s="351"/>
      <c r="C15" s="351"/>
      <c r="D15" s="351"/>
      <c r="E15" s="351"/>
      <c r="F15" s="351" t="s">
        <v>285</v>
      </c>
      <c r="G15" s="351"/>
      <c r="H15" s="351"/>
    </row>
    <row r="16" customHeight="1" spans="2:8">
      <c r="B16" s="351"/>
      <c r="C16" s="351"/>
      <c r="D16" s="351"/>
      <c r="E16" s="351"/>
      <c r="F16" s="351"/>
      <c r="G16" s="351"/>
      <c r="H16" s="351"/>
    </row>
    <row r="17" customHeight="1" spans="2:8">
      <c r="B17" s="351"/>
      <c r="C17" s="351"/>
      <c r="D17" s="351"/>
      <c r="E17" s="351"/>
      <c r="F17" s="351"/>
      <c r="G17" s="351" t="s">
        <v>286</v>
      </c>
      <c r="H17" s="351"/>
    </row>
  </sheetData>
  <mergeCells count="2">
    <mergeCell ref="B2:H2"/>
    <mergeCell ref="B6:H6"/>
  </mergeCells>
  <printOptions horizontalCentered="1"/>
  <pageMargins left="0.707638888888889" right="0.707638888888889" top="0.747916666666667" bottom="0.747916666666667" header="0.313888888888889" footer="0.313888888888889"/>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I59"/>
  <sheetViews>
    <sheetView showZeros="0" workbookViewId="0">
      <pane ySplit="5" topLeftCell="A34" activePane="bottomLeft" state="frozen"/>
      <selection/>
      <selection pane="bottomLeft" activeCell="M40" sqref="M40"/>
    </sheetView>
  </sheetViews>
  <sheetFormatPr defaultColWidth="9" defaultRowHeight="14.25"/>
  <cols>
    <col min="1" max="1" width="5.625" style="324" customWidth="1"/>
    <col min="2" max="2" width="19.75" style="323" customWidth="1"/>
    <col min="3" max="3" width="19" style="323" customWidth="1"/>
    <col min="4" max="4" width="11.5" style="325" customWidth="1"/>
    <col min="5" max="5" width="8" style="324" customWidth="1"/>
    <col min="6" max="6" width="6.375" style="325" customWidth="1"/>
    <col min="7" max="7" width="7.25" style="324" customWidth="1"/>
    <col min="8" max="8" width="6.125" style="324" customWidth="1"/>
    <col min="9" max="9" width="20.125" style="326" customWidth="1"/>
    <col min="10" max="256" width="8.875" style="325"/>
    <col min="257" max="257" width="5.625" style="325" customWidth="1"/>
    <col min="258" max="258" width="25.5" style="325" customWidth="1"/>
    <col min="259" max="259" width="13" style="325" customWidth="1"/>
    <col min="260" max="260" width="15" style="325" customWidth="1"/>
    <col min="261" max="261" width="8" style="325" customWidth="1"/>
    <col min="262" max="262" width="6.375" style="325" customWidth="1"/>
    <col min="263" max="263" width="7.25" style="325" customWidth="1"/>
    <col min="264" max="264" width="6.125" style="325" customWidth="1"/>
    <col min="265" max="265" width="20.125" style="325" customWidth="1"/>
    <col min="266" max="512" width="8.875" style="325"/>
    <col min="513" max="513" width="5.625" style="325" customWidth="1"/>
    <col min="514" max="514" width="25.5" style="325" customWidth="1"/>
    <col min="515" max="515" width="13" style="325" customWidth="1"/>
    <col min="516" max="516" width="15" style="325" customWidth="1"/>
    <col min="517" max="517" width="8" style="325" customWidth="1"/>
    <col min="518" max="518" width="6.375" style="325" customWidth="1"/>
    <col min="519" max="519" width="7.25" style="325" customWidth="1"/>
    <col min="520" max="520" width="6.125" style="325" customWidth="1"/>
    <col min="521" max="521" width="20.125" style="325" customWidth="1"/>
    <col min="522" max="768" width="8.875" style="325"/>
    <col min="769" max="769" width="5.625" style="325" customWidth="1"/>
    <col min="770" max="770" width="25.5" style="325" customWidth="1"/>
    <col min="771" max="771" width="13" style="325" customWidth="1"/>
    <col min="772" max="772" width="15" style="325" customWidth="1"/>
    <col min="773" max="773" width="8" style="325" customWidth="1"/>
    <col min="774" max="774" width="6.375" style="325" customWidth="1"/>
    <col min="775" max="775" width="7.25" style="325" customWidth="1"/>
    <col min="776" max="776" width="6.125" style="325" customWidth="1"/>
    <col min="777" max="777" width="20.125" style="325" customWidth="1"/>
    <col min="778" max="1024" width="8.875" style="325"/>
    <col min="1025" max="1025" width="5.625" style="325" customWidth="1"/>
    <col min="1026" max="1026" width="25.5" style="325" customWidth="1"/>
    <col min="1027" max="1027" width="13" style="325" customWidth="1"/>
    <col min="1028" max="1028" width="15" style="325" customWidth="1"/>
    <col min="1029" max="1029" width="8" style="325" customWidth="1"/>
    <col min="1030" max="1030" width="6.375" style="325" customWidth="1"/>
    <col min="1031" max="1031" width="7.25" style="325" customWidth="1"/>
    <col min="1032" max="1032" width="6.125" style="325" customWidth="1"/>
    <col min="1033" max="1033" width="20.125" style="325" customWidth="1"/>
    <col min="1034" max="1280" width="8.875" style="325"/>
    <col min="1281" max="1281" width="5.625" style="325" customWidth="1"/>
    <col min="1282" max="1282" width="25.5" style="325" customWidth="1"/>
    <col min="1283" max="1283" width="13" style="325" customWidth="1"/>
    <col min="1284" max="1284" width="15" style="325" customWidth="1"/>
    <col min="1285" max="1285" width="8" style="325" customWidth="1"/>
    <col min="1286" max="1286" width="6.375" style="325" customWidth="1"/>
    <col min="1287" max="1287" width="7.25" style="325" customWidth="1"/>
    <col min="1288" max="1288" width="6.125" style="325" customWidth="1"/>
    <col min="1289" max="1289" width="20.125" style="325" customWidth="1"/>
    <col min="1290" max="1536" width="8.875" style="325"/>
    <col min="1537" max="1537" width="5.625" style="325" customWidth="1"/>
    <col min="1538" max="1538" width="25.5" style="325" customWidth="1"/>
    <col min="1539" max="1539" width="13" style="325" customWidth="1"/>
    <col min="1540" max="1540" width="15" style="325" customWidth="1"/>
    <col min="1541" max="1541" width="8" style="325" customWidth="1"/>
    <col min="1542" max="1542" width="6.375" style="325" customWidth="1"/>
    <col min="1543" max="1543" width="7.25" style="325" customWidth="1"/>
    <col min="1544" max="1544" width="6.125" style="325" customWidth="1"/>
    <col min="1545" max="1545" width="20.125" style="325" customWidth="1"/>
    <col min="1546" max="1792" width="8.875" style="325"/>
    <col min="1793" max="1793" width="5.625" style="325" customWidth="1"/>
    <col min="1794" max="1794" width="25.5" style="325" customWidth="1"/>
    <col min="1795" max="1795" width="13" style="325" customWidth="1"/>
    <col min="1796" max="1796" width="15" style="325" customWidth="1"/>
    <col min="1797" max="1797" width="8" style="325" customWidth="1"/>
    <col min="1798" max="1798" width="6.375" style="325" customWidth="1"/>
    <col min="1799" max="1799" width="7.25" style="325" customWidth="1"/>
    <col min="1800" max="1800" width="6.125" style="325" customWidth="1"/>
    <col min="1801" max="1801" width="20.125" style="325" customWidth="1"/>
    <col min="1802" max="2048" width="8.875" style="325"/>
    <col min="2049" max="2049" width="5.625" style="325" customWidth="1"/>
    <col min="2050" max="2050" width="25.5" style="325" customWidth="1"/>
    <col min="2051" max="2051" width="13" style="325" customWidth="1"/>
    <col min="2052" max="2052" width="15" style="325" customWidth="1"/>
    <col min="2053" max="2053" width="8" style="325" customWidth="1"/>
    <col min="2054" max="2054" width="6.375" style="325" customWidth="1"/>
    <col min="2055" max="2055" width="7.25" style="325" customWidth="1"/>
    <col min="2056" max="2056" width="6.125" style="325" customWidth="1"/>
    <col min="2057" max="2057" width="20.125" style="325" customWidth="1"/>
    <col min="2058" max="2304" width="8.875" style="325"/>
    <col min="2305" max="2305" width="5.625" style="325" customWidth="1"/>
    <col min="2306" max="2306" width="25.5" style="325" customWidth="1"/>
    <col min="2307" max="2307" width="13" style="325" customWidth="1"/>
    <col min="2308" max="2308" width="15" style="325" customWidth="1"/>
    <col min="2309" max="2309" width="8" style="325" customWidth="1"/>
    <col min="2310" max="2310" width="6.375" style="325" customWidth="1"/>
    <col min="2311" max="2311" width="7.25" style="325" customWidth="1"/>
    <col min="2312" max="2312" width="6.125" style="325" customWidth="1"/>
    <col min="2313" max="2313" width="20.125" style="325" customWidth="1"/>
    <col min="2314" max="2560" width="8.875" style="325"/>
    <col min="2561" max="2561" width="5.625" style="325" customWidth="1"/>
    <col min="2562" max="2562" width="25.5" style="325" customWidth="1"/>
    <col min="2563" max="2563" width="13" style="325" customWidth="1"/>
    <col min="2564" max="2564" width="15" style="325" customWidth="1"/>
    <col min="2565" max="2565" width="8" style="325" customWidth="1"/>
    <col min="2566" max="2566" width="6.375" style="325" customWidth="1"/>
    <col min="2567" max="2567" width="7.25" style="325" customWidth="1"/>
    <col min="2568" max="2568" width="6.125" style="325" customWidth="1"/>
    <col min="2569" max="2569" width="20.125" style="325" customWidth="1"/>
    <col min="2570" max="2816" width="8.875" style="325"/>
    <col min="2817" max="2817" width="5.625" style="325" customWidth="1"/>
    <col min="2818" max="2818" width="25.5" style="325" customWidth="1"/>
    <col min="2819" max="2819" width="13" style="325" customWidth="1"/>
    <col min="2820" max="2820" width="15" style="325" customWidth="1"/>
    <col min="2821" max="2821" width="8" style="325" customWidth="1"/>
    <col min="2822" max="2822" width="6.375" style="325" customWidth="1"/>
    <col min="2823" max="2823" width="7.25" style="325" customWidth="1"/>
    <col min="2824" max="2824" width="6.125" style="325" customWidth="1"/>
    <col min="2825" max="2825" width="20.125" style="325" customWidth="1"/>
    <col min="2826" max="3072" width="8.875" style="325"/>
    <col min="3073" max="3073" width="5.625" style="325" customWidth="1"/>
    <col min="3074" max="3074" width="25.5" style="325" customWidth="1"/>
    <col min="3075" max="3075" width="13" style="325" customWidth="1"/>
    <col min="3076" max="3076" width="15" style="325" customWidth="1"/>
    <col min="3077" max="3077" width="8" style="325" customWidth="1"/>
    <col min="3078" max="3078" width="6.375" style="325" customWidth="1"/>
    <col min="3079" max="3079" width="7.25" style="325" customWidth="1"/>
    <col min="3080" max="3080" width="6.125" style="325" customWidth="1"/>
    <col min="3081" max="3081" width="20.125" style="325" customWidth="1"/>
    <col min="3082" max="3328" width="8.875" style="325"/>
    <col min="3329" max="3329" width="5.625" style="325" customWidth="1"/>
    <col min="3330" max="3330" width="25.5" style="325" customWidth="1"/>
    <col min="3331" max="3331" width="13" style="325" customWidth="1"/>
    <col min="3332" max="3332" width="15" style="325" customWidth="1"/>
    <col min="3333" max="3333" width="8" style="325" customWidth="1"/>
    <col min="3334" max="3334" width="6.375" style="325" customWidth="1"/>
    <col min="3335" max="3335" width="7.25" style="325" customWidth="1"/>
    <col min="3336" max="3336" width="6.125" style="325" customWidth="1"/>
    <col min="3337" max="3337" width="20.125" style="325" customWidth="1"/>
    <col min="3338" max="3584" width="8.875" style="325"/>
    <col min="3585" max="3585" width="5.625" style="325" customWidth="1"/>
    <col min="3586" max="3586" width="25.5" style="325" customWidth="1"/>
    <col min="3587" max="3587" width="13" style="325" customWidth="1"/>
    <col min="3588" max="3588" width="15" style="325" customWidth="1"/>
    <col min="3589" max="3589" width="8" style="325" customWidth="1"/>
    <col min="3590" max="3590" width="6.375" style="325" customWidth="1"/>
    <col min="3591" max="3591" width="7.25" style="325" customWidth="1"/>
    <col min="3592" max="3592" width="6.125" style="325" customWidth="1"/>
    <col min="3593" max="3593" width="20.125" style="325" customWidth="1"/>
    <col min="3594" max="3840" width="8.875" style="325"/>
    <col min="3841" max="3841" width="5.625" style="325" customWidth="1"/>
    <col min="3842" max="3842" width="25.5" style="325" customWidth="1"/>
    <col min="3843" max="3843" width="13" style="325" customWidth="1"/>
    <col min="3844" max="3844" width="15" style="325" customWidth="1"/>
    <col min="3845" max="3845" width="8" style="325" customWidth="1"/>
    <col min="3846" max="3846" width="6.375" style="325" customWidth="1"/>
    <col min="3847" max="3847" width="7.25" style="325" customWidth="1"/>
    <col min="3848" max="3848" width="6.125" style="325" customWidth="1"/>
    <col min="3849" max="3849" width="20.125" style="325" customWidth="1"/>
    <col min="3850" max="4096" width="8.875" style="325"/>
    <col min="4097" max="4097" width="5.625" style="325" customWidth="1"/>
    <col min="4098" max="4098" width="25.5" style="325" customWidth="1"/>
    <col min="4099" max="4099" width="13" style="325" customWidth="1"/>
    <col min="4100" max="4100" width="15" style="325" customWidth="1"/>
    <col min="4101" max="4101" width="8" style="325" customWidth="1"/>
    <col min="4102" max="4102" width="6.375" style="325" customWidth="1"/>
    <col min="4103" max="4103" width="7.25" style="325" customWidth="1"/>
    <col min="4104" max="4104" width="6.125" style="325" customWidth="1"/>
    <col min="4105" max="4105" width="20.125" style="325" customWidth="1"/>
    <col min="4106" max="4352" width="8.875" style="325"/>
    <col min="4353" max="4353" width="5.625" style="325" customWidth="1"/>
    <col min="4354" max="4354" width="25.5" style="325" customWidth="1"/>
    <col min="4355" max="4355" width="13" style="325" customWidth="1"/>
    <col min="4356" max="4356" width="15" style="325" customWidth="1"/>
    <col min="4357" max="4357" width="8" style="325" customWidth="1"/>
    <col min="4358" max="4358" width="6.375" style="325" customWidth="1"/>
    <col min="4359" max="4359" width="7.25" style="325" customWidth="1"/>
    <col min="4360" max="4360" width="6.125" style="325" customWidth="1"/>
    <col min="4361" max="4361" width="20.125" style="325" customWidth="1"/>
    <col min="4362" max="4608" width="8.875" style="325"/>
    <col min="4609" max="4609" width="5.625" style="325" customWidth="1"/>
    <col min="4610" max="4610" width="25.5" style="325" customWidth="1"/>
    <col min="4611" max="4611" width="13" style="325" customWidth="1"/>
    <col min="4612" max="4612" width="15" style="325" customWidth="1"/>
    <col min="4613" max="4613" width="8" style="325" customWidth="1"/>
    <col min="4614" max="4614" width="6.375" style="325" customWidth="1"/>
    <col min="4615" max="4615" width="7.25" style="325" customWidth="1"/>
    <col min="4616" max="4616" width="6.125" style="325" customWidth="1"/>
    <col min="4617" max="4617" width="20.125" style="325" customWidth="1"/>
    <col min="4618" max="4864" width="8.875" style="325"/>
    <col min="4865" max="4865" width="5.625" style="325" customWidth="1"/>
    <col min="4866" max="4866" width="25.5" style="325" customWidth="1"/>
    <col min="4867" max="4867" width="13" style="325" customWidth="1"/>
    <col min="4868" max="4868" width="15" style="325" customWidth="1"/>
    <col min="4869" max="4869" width="8" style="325" customWidth="1"/>
    <col min="4870" max="4870" width="6.375" style="325" customWidth="1"/>
    <col min="4871" max="4871" width="7.25" style="325" customWidth="1"/>
    <col min="4872" max="4872" width="6.125" style="325" customWidth="1"/>
    <col min="4873" max="4873" width="20.125" style="325" customWidth="1"/>
    <col min="4874" max="5120" width="8.875" style="325"/>
    <col min="5121" max="5121" width="5.625" style="325" customWidth="1"/>
    <col min="5122" max="5122" width="25.5" style="325" customWidth="1"/>
    <col min="5123" max="5123" width="13" style="325" customWidth="1"/>
    <col min="5124" max="5124" width="15" style="325" customWidth="1"/>
    <col min="5125" max="5125" width="8" style="325" customWidth="1"/>
    <col min="5126" max="5126" width="6.375" style="325" customWidth="1"/>
    <col min="5127" max="5127" width="7.25" style="325" customWidth="1"/>
    <col min="5128" max="5128" width="6.125" style="325" customWidth="1"/>
    <col min="5129" max="5129" width="20.125" style="325" customWidth="1"/>
    <col min="5130" max="5376" width="8.875" style="325"/>
    <col min="5377" max="5377" width="5.625" style="325" customWidth="1"/>
    <col min="5378" max="5378" width="25.5" style="325" customWidth="1"/>
    <col min="5379" max="5379" width="13" style="325" customWidth="1"/>
    <col min="5380" max="5380" width="15" style="325" customWidth="1"/>
    <col min="5381" max="5381" width="8" style="325" customWidth="1"/>
    <col min="5382" max="5382" width="6.375" style="325" customWidth="1"/>
    <col min="5383" max="5383" width="7.25" style="325" customWidth="1"/>
    <col min="5384" max="5384" width="6.125" style="325" customWidth="1"/>
    <col min="5385" max="5385" width="20.125" style="325" customWidth="1"/>
    <col min="5386" max="5632" width="8.875" style="325"/>
    <col min="5633" max="5633" width="5.625" style="325" customWidth="1"/>
    <col min="5634" max="5634" width="25.5" style="325" customWidth="1"/>
    <col min="5635" max="5635" width="13" style="325" customWidth="1"/>
    <col min="5636" max="5636" width="15" style="325" customWidth="1"/>
    <col min="5637" max="5637" width="8" style="325" customWidth="1"/>
    <col min="5638" max="5638" width="6.375" style="325" customWidth="1"/>
    <col min="5639" max="5639" width="7.25" style="325" customWidth="1"/>
    <col min="5640" max="5640" width="6.125" style="325" customWidth="1"/>
    <col min="5641" max="5641" width="20.125" style="325" customWidth="1"/>
    <col min="5642" max="5888" width="8.875" style="325"/>
    <col min="5889" max="5889" width="5.625" style="325" customWidth="1"/>
    <col min="5890" max="5890" width="25.5" style="325" customWidth="1"/>
    <col min="5891" max="5891" width="13" style="325" customWidth="1"/>
    <col min="5892" max="5892" width="15" style="325" customWidth="1"/>
    <col min="5893" max="5893" width="8" style="325" customWidth="1"/>
    <col min="5894" max="5894" width="6.375" style="325" customWidth="1"/>
    <col min="5895" max="5895" width="7.25" style="325" customWidth="1"/>
    <col min="5896" max="5896" width="6.125" style="325" customWidth="1"/>
    <col min="5897" max="5897" width="20.125" style="325" customWidth="1"/>
    <col min="5898" max="6144" width="8.875" style="325"/>
    <col min="6145" max="6145" width="5.625" style="325" customWidth="1"/>
    <col min="6146" max="6146" width="25.5" style="325" customWidth="1"/>
    <col min="6147" max="6147" width="13" style="325" customWidth="1"/>
    <col min="6148" max="6148" width="15" style="325" customWidth="1"/>
    <col min="6149" max="6149" width="8" style="325" customWidth="1"/>
    <col min="6150" max="6150" width="6.375" style="325" customWidth="1"/>
    <col min="6151" max="6151" width="7.25" style="325" customWidth="1"/>
    <col min="6152" max="6152" width="6.125" style="325" customWidth="1"/>
    <col min="6153" max="6153" width="20.125" style="325" customWidth="1"/>
    <col min="6154" max="6400" width="8.875" style="325"/>
    <col min="6401" max="6401" width="5.625" style="325" customWidth="1"/>
    <col min="6402" max="6402" width="25.5" style="325" customWidth="1"/>
    <col min="6403" max="6403" width="13" style="325" customWidth="1"/>
    <col min="6404" max="6404" width="15" style="325" customWidth="1"/>
    <col min="6405" max="6405" width="8" style="325" customWidth="1"/>
    <col min="6406" max="6406" width="6.375" style="325" customWidth="1"/>
    <col min="6407" max="6407" width="7.25" style="325" customWidth="1"/>
    <col min="6408" max="6408" width="6.125" style="325" customWidth="1"/>
    <col min="6409" max="6409" width="20.125" style="325" customWidth="1"/>
    <col min="6410" max="6656" width="8.875" style="325"/>
    <col min="6657" max="6657" width="5.625" style="325" customWidth="1"/>
    <col min="6658" max="6658" width="25.5" style="325" customWidth="1"/>
    <col min="6659" max="6659" width="13" style="325" customWidth="1"/>
    <col min="6660" max="6660" width="15" style="325" customWidth="1"/>
    <col min="6661" max="6661" width="8" style="325" customWidth="1"/>
    <col min="6662" max="6662" width="6.375" style="325" customWidth="1"/>
    <col min="6663" max="6663" width="7.25" style="325" customWidth="1"/>
    <col min="6664" max="6664" width="6.125" style="325" customWidth="1"/>
    <col min="6665" max="6665" width="20.125" style="325" customWidth="1"/>
    <col min="6666" max="6912" width="8.875" style="325"/>
    <col min="6913" max="6913" width="5.625" style="325" customWidth="1"/>
    <col min="6914" max="6914" width="25.5" style="325" customWidth="1"/>
    <col min="6915" max="6915" width="13" style="325" customWidth="1"/>
    <col min="6916" max="6916" width="15" style="325" customWidth="1"/>
    <col min="6917" max="6917" width="8" style="325" customWidth="1"/>
    <col min="6918" max="6918" width="6.375" style="325" customWidth="1"/>
    <col min="6919" max="6919" width="7.25" style="325" customWidth="1"/>
    <col min="6920" max="6920" width="6.125" style="325" customWidth="1"/>
    <col min="6921" max="6921" width="20.125" style="325" customWidth="1"/>
    <col min="6922" max="7168" width="8.875" style="325"/>
    <col min="7169" max="7169" width="5.625" style="325" customWidth="1"/>
    <col min="7170" max="7170" width="25.5" style="325" customWidth="1"/>
    <col min="7171" max="7171" width="13" style="325" customWidth="1"/>
    <col min="7172" max="7172" width="15" style="325" customWidth="1"/>
    <col min="7173" max="7173" width="8" style="325" customWidth="1"/>
    <col min="7174" max="7174" width="6.375" style="325" customWidth="1"/>
    <col min="7175" max="7175" width="7.25" style="325" customWidth="1"/>
    <col min="7176" max="7176" width="6.125" style="325" customWidth="1"/>
    <col min="7177" max="7177" width="20.125" style="325" customWidth="1"/>
    <col min="7178" max="7424" width="8.875" style="325"/>
    <col min="7425" max="7425" width="5.625" style="325" customWidth="1"/>
    <col min="7426" max="7426" width="25.5" style="325" customWidth="1"/>
    <col min="7427" max="7427" width="13" style="325" customWidth="1"/>
    <col min="7428" max="7428" width="15" style="325" customWidth="1"/>
    <col min="7429" max="7429" width="8" style="325" customWidth="1"/>
    <col min="7430" max="7430" width="6.375" style="325" customWidth="1"/>
    <col min="7431" max="7431" width="7.25" style="325" customWidth="1"/>
    <col min="7432" max="7432" width="6.125" style="325" customWidth="1"/>
    <col min="7433" max="7433" width="20.125" style="325" customWidth="1"/>
    <col min="7434" max="7680" width="8.875" style="325"/>
    <col min="7681" max="7681" width="5.625" style="325" customWidth="1"/>
    <col min="7682" max="7682" width="25.5" style="325" customWidth="1"/>
    <col min="7683" max="7683" width="13" style="325" customWidth="1"/>
    <col min="7684" max="7684" width="15" style="325" customWidth="1"/>
    <col min="7685" max="7685" width="8" style="325" customWidth="1"/>
    <col min="7686" max="7686" width="6.375" style="325" customWidth="1"/>
    <col min="7687" max="7687" width="7.25" style="325" customWidth="1"/>
    <col min="7688" max="7688" width="6.125" style="325" customWidth="1"/>
    <col min="7689" max="7689" width="20.125" style="325" customWidth="1"/>
    <col min="7690" max="7936" width="8.875" style="325"/>
    <col min="7937" max="7937" width="5.625" style="325" customWidth="1"/>
    <col min="7938" max="7938" width="25.5" style="325" customWidth="1"/>
    <col min="7939" max="7939" width="13" style="325" customWidth="1"/>
    <col min="7940" max="7940" width="15" style="325" customWidth="1"/>
    <col min="7941" max="7941" width="8" style="325" customWidth="1"/>
    <col min="7942" max="7942" width="6.375" style="325" customWidth="1"/>
    <col min="7943" max="7943" width="7.25" style="325" customWidth="1"/>
    <col min="7944" max="7944" width="6.125" style="325" customWidth="1"/>
    <col min="7945" max="7945" width="20.125" style="325" customWidth="1"/>
    <col min="7946" max="8192" width="8.875" style="325"/>
    <col min="8193" max="8193" width="5.625" style="325" customWidth="1"/>
    <col min="8194" max="8194" width="25.5" style="325" customWidth="1"/>
    <col min="8195" max="8195" width="13" style="325" customWidth="1"/>
    <col min="8196" max="8196" width="15" style="325" customWidth="1"/>
    <col min="8197" max="8197" width="8" style="325" customWidth="1"/>
    <col min="8198" max="8198" width="6.375" style="325" customWidth="1"/>
    <col min="8199" max="8199" width="7.25" style="325" customWidth="1"/>
    <col min="8200" max="8200" width="6.125" style="325" customWidth="1"/>
    <col min="8201" max="8201" width="20.125" style="325" customWidth="1"/>
    <col min="8202" max="8448" width="8.875" style="325"/>
    <col min="8449" max="8449" width="5.625" style="325" customWidth="1"/>
    <col min="8450" max="8450" width="25.5" style="325" customWidth="1"/>
    <col min="8451" max="8451" width="13" style="325" customWidth="1"/>
    <col min="8452" max="8452" width="15" style="325" customWidth="1"/>
    <col min="8453" max="8453" width="8" style="325" customWidth="1"/>
    <col min="8454" max="8454" width="6.375" style="325" customWidth="1"/>
    <col min="8455" max="8455" width="7.25" style="325" customWidth="1"/>
    <col min="8456" max="8456" width="6.125" style="325" customWidth="1"/>
    <col min="8457" max="8457" width="20.125" style="325" customWidth="1"/>
    <col min="8458" max="8704" width="8.875" style="325"/>
    <col min="8705" max="8705" width="5.625" style="325" customWidth="1"/>
    <col min="8706" max="8706" width="25.5" style="325" customWidth="1"/>
    <col min="8707" max="8707" width="13" style="325" customWidth="1"/>
    <col min="8708" max="8708" width="15" style="325" customWidth="1"/>
    <col min="8709" max="8709" width="8" style="325" customWidth="1"/>
    <col min="8710" max="8710" width="6.375" style="325" customWidth="1"/>
    <col min="8711" max="8711" width="7.25" style="325" customWidth="1"/>
    <col min="8712" max="8712" width="6.125" style="325" customWidth="1"/>
    <col min="8713" max="8713" width="20.125" style="325" customWidth="1"/>
    <col min="8714" max="8960" width="8.875" style="325"/>
    <col min="8961" max="8961" width="5.625" style="325" customWidth="1"/>
    <col min="8962" max="8962" width="25.5" style="325" customWidth="1"/>
    <col min="8963" max="8963" width="13" style="325" customWidth="1"/>
    <col min="8964" max="8964" width="15" style="325" customWidth="1"/>
    <col min="8965" max="8965" width="8" style="325" customWidth="1"/>
    <col min="8966" max="8966" width="6.375" style="325" customWidth="1"/>
    <col min="8967" max="8967" width="7.25" style="325" customWidth="1"/>
    <col min="8968" max="8968" width="6.125" style="325" customWidth="1"/>
    <col min="8969" max="8969" width="20.125" style="325" customWidth="1"/>
    <col min="8970" max="9216" width="8.875" style="325"/>
    <col min="9217" max="9217" width="5.625" style="325" customWidth="1"/>
    <col min="9218" max="9218" width="25.5" style="325" customWidth="1"/>
    <col min="9219" max="9219" width="13" style="325" customWidth="1"/>
    <col min="9220" max="9220" width="15" style="325" customWidth="1"/>
    <col min="9221" max="9221" width="8" style="325" customWidth="1"/>
    <col min="9222" max="9222" width="6.375" style="325" customWidth="1"/>
    <col min="9223" max="9223" width="7.25" style="325" customWidth="1"/>
    <col min="9224" max="9224" width="6.125" style="325" customWidth="1"/>
    <col min="9225" max="9225" width="20.125" style="325" customWidth="1"/>
    <col min="9226" max="9472" width="8.875" style="325"/>
    <col min="9473" max="9473" width="5.625" style="325" customWidth="1"/>
    <col min="9474" max="9474" width="25.5" style="325" customWidth="1"/>
    <col min="9475" max="9475" width="13" style="325" customWidth="1"/>
    <col min="9476" max="9476" width="15" style="325" customWidth="1"/>
    <col min="9477" max="9477" width="8" style="325" customWidth="1"/>
    <col min="9478" max="9478" width="6.375" style="325" customWidth="1"/>
    <col min="9479" max="9479" width="7.25" style="325" customWidth="1"/>
    <col min="9480" max="9480" width="6.125" style="325" customWidth="1"/>
    <col min="9481" max="9481" width="20.125" style="325" customWidth="1"/>
    <col min="9482" max="9728" width="8.875" style="325"/>
    <col min="9729" max="9729" width="5.625" style="325" customWidth="1"/>
    <col min="9730" max="9730" width="25.5" style="325" customWidth="1"/>
    <col min="9731" max="9731" width="13" style="325" customWidth="1"/>
    <col min="9732" max="9732" width="15" style="325" customWidth="1"/>
    <col min="9733" max="9733" width="8" style="325" customWidth="1"/>
    <col min="9734" max="9734" width="6.375" style="325" customWidth="1"/>
    <col min="9735" max="9735" width="7.25" style="325" customWidth="1"/>
    <col min="9736" max="9736" width="6.125" style="325" customWidth="1"/>
    <col min="9737" max="9737" width="20.125" style="325" customWidth="1"/>
    <col min="9738" max="9984" width="8.875" style="325"/>
    <col min="9985" max="9985" width="5.625" style="325" customWidth="1"/>
    <col min="9986" max="9986" width="25.5" style="325" customWidth="1"/>
    <col min="9987" max="9987" width="13" style="325" customWidth="1"/>
    <col min="9988" max="9988" width="15" style="325" customWidth="1"/>
    <col min="9989" max="9989" width="8" style="325" customWidth="1"/>
    <col min="9990" max="9990" width="6.375" style="325" customWidth="1"/>
    <col min="9991" max="9991" width="7.25" style="325" customWidth="1"/>
    <col min="9992" max="9992" width="6.125" style="325" customWidth="1"/>
    <col min="9993" max="9993" width="20.125" style="325" customWidth="1"/>
    <col min="9994" max="10240" width="8.875" style="325"/>
    <col min="10241" max="10241" width="5.625" style="325" customWidth="1"/>
    <col min="10242" max="10242" width="25.5" style="325" customWidth="1"/>
    <col min="10243" max="10243" width="13" style="325" customWidth="1"/>
    <col min="10244" max="10244" width="15" style="325" customWidth="1"/>
    <col min="10245" max="10245" width="8" style="325" customWidth="1"/>
    <col min="10246" max="10246" width="6.375" style="325" customWidth="1"/>
    <col min="10247" max="10247" width="7.25" style="325" customWidth="1"/>
    <col min="10248" max="10248" width="6.125" style="325" customWidth="1"/>
    <col min="10249" max="10249" width="20.125" style="325" customWidth="1"/>
    <col min="10250" max="10496" width="8.875" style="325"/>
    <col min="10497" max="10497" width="5.625" style="325" customWidth="1"/>
    <col min="10498" max="10498" width="25.5" style="325" customWidth="1"/>
    <col min="10499" max="10499" width="13" style="325" customWidth="1"/>
    <col min="10500" max="10500" width="15" style="325" customWidth="1"/>
    <col min="10501" max="10501" width="8" style="325" customWidth="1"/>
    <col min="10502" max="10502" width="6.375" style="325" customWidth="1"/>
    <col min="10503" max="10503" width="7.25" style="325" customWidth="1"/>
    <col min="10504" max="10504" width="6.125" style="325" customWidth="1"/>
    <col min="10505" max="10505" width="20.125" style="325" customWidth="1"/>
    <col min="10506" max="10752" width="8.875" style="325"/>
    <col min="10753" max="10753" width="5.625" style="325" customWidth="1"/>
    <col min="10754" max="10754" width="25.5" style="325" customWidth="1"/>
    <col min="10755" max="10755" width="13" style="325" customWidth="1"/>
    <col min="10756" max="10756" width="15" style="325" customWidth="1"/>
    <col min="10757" max="10757" width="8" style="325" customWidth="1"/>
    <col min="10758" max="10758" width="6.375" style="325" customWidth="1"/>
    <col min="10759" max="10759" width="7.25" style="325" customWidth="1"/>
    <col min="10760" max="10760" width="6.125" style="325" customWidth="1"/>
    <col min="10761" max="10761" width="20.125" style="325" customWidth="1"/>
    <col min="10762" max="11008" width="8.875" style="325"/>
    <col min="11009" max="11009" width="5.625" style="325" customWidth="1"/>
    <col min="11010" max="11010" width="25.5" style="325" customWidth="1"/>
    <col min="11011" max="11011" width="13" style="325" customWidth="1"/>
    <col min="11012" max="11012" width="15" style="325" customWidth="1"/>
    <col min="11013" max="11013" width="8" style="325" customWidth="1"/>
    <col min="11014" max="11014" width="6.375" style="325" customWidth="1"/>
    <col min="11015" max="11015" width="7.25" style="325" customWidth="1"/>
    <col min="11016" max="11016" width="6.125" style="325" customWidth="1"/>
    <col min="11017" max="11017" width="20.125" style="325" customWidth="1"/>
    <col min="11018" max="11264" width="8.875" style="325"/>
    <col min="11265" max="11265" width="5.625" style="325" customWidth="1"/>
    <col min="11266" max="11266" width="25.5" style="325" customWidth="1"/>
    <col min="11267" max="11267" width="13" style="325" customWidth="1"/>
    <col min="11268" max="11268" width="15" style="325" customWidth="1"/>
    <col min="11269" max="11269" width="8" style="325" customWidth="1"/>
    <col min="11270" max="11270" width="6.375" style="325" customWidth="1"/>
    <col min="11271" max="11271" width="7.25" style="325" customWidth="1"/>
    <col min="11272" max="11272" width="6.125" style="325" customWidth="1"/>
    <col min="11273" max="11273" width="20.125" style="325" customWidth="1"/>
    <col min="11274" max="11520" width="8.875" style="325"/>
    <col min="11521" max="11521" width="5.625" style="325" customWidth="1"/>
    <col min="11522" max="11522" width="25.5" style="325" customWidth="1"/>
    <col min="11523" max="11523" width="13" style="325" customWidth="1"/>
    <col min="11524" max="11524" width="15" style="325" customWidth="1"/>
    <col min="11525" max="11525" width="8" style="325" customWidth="1"/>
    <col min="11526" max="11526" width="6.375" style="325" customWidth="1"/>
    <col min="11527" max="11527" width="7.25" style="325" customWidth="1"/>
    <col min="11528" max="11528" width="6.125" style="325" customWidth="1"/>
    <col min="11529" max="11529" width="20.125" style="325" customWidth="1"/>
    <col min="11530" max="11776" width="8.875" style="325"/>
    <col min="11777" max="11777" width="5.625" style="325" customWidth="1"/>
    <col min="11778" max="11778" width="25.5" style="325" customWidth="1"/>
    <col min="11779" max="11779" width="13" style="325" customWidth="1"/>
    <col min="11780" max="11780" width="15" style="325" customWidth="1"/>
    <col min="11781" max="11781" width="8" style="325" customWidth="1"/>
    <col min="11782" max="11782" width="6.375" style="325" customWidth="1"/>
    <col min="11783" max="11783" width="7.25" style="325" customWidth="1"/>
    <col min="11784" max="11784" width="6.125" style="325" customWidth="1"/>
    <col min="11785" max="11785" width="20.125" style="325" customWidth="1"/>
    <col min="11786" max="12032" width="8.875" style="325"/>
    <col min="12033" max="12033" width="5.625" style="325" customWidth="1"/>
    <col min="12034" max="12034" width="25.5" style="325" customWidth="1"/>
    <col min="12035" max="12035" width="13" style="325" customWidth="1"/>
    <col min="12036" max="12036" width="15" style="325" customWidth="1"/>
    <col min="12037" max="12037" width="8" style="325" customWidth="1"/>
    <col min="12038" max="12038" width="6.375" style="325" customWidth="1"/>
    <col min="12039" max="12039" width="7.25" style="325" customWidth="1"/>
    <col min="12040" max="12040" width="6.125" style="325" customWidth="1"/>
    <col min="12041" max="12041" width="20.125" style="325" customWidth="1"/>
    <col min="12042" max="12288" width="8.875" style="325"/>
    <col min="12289" max="12289" width="5.625" style="325" customWidth="1"/>
    <col min="12290" max="12290" width="25.5" style="325" customWidth="1"/>
    <col min="12291" max="12291" width="13" style="325" customWidth="1"/>
    <col min="12292" max="12292" width="15" style="325" customWidth="1"/>
    <col min="12293" max="12293" width="8" style="325" customWidth="1"/>
    <col min="12294" max="12294" width="6.375" style="325" customWidth="1"/>
    <col min="12295" max="12295" width="7.25" style="325" customWidth="1"/>
    <col min="12296" max="12296" width="6.125" style="325" customWidth="1"/>
    <col min="12297" max="12297" width="20.125" style="325" customWidth="1"/>
    <col min="12298" max="12544" width="8.875" style="325"/>
    <col min="12545" max="12545" width="5.625" style="325" customWidth="1"/>
    <col min="12546" max="12546" width="25.5" style="325" customWidth="1"/>
    <col min="12547" max="12547" width="13" style="325" customWidth="1"/>
    <col min="12548" max="12548" width="15" style="325" customWidth="1"/>
    <col min="12549" max="12549" width="8" style="325" customWidth="1"/>
    <col min="12550" max="12550" width="6.375" style="325" customWidth="1"/>
    <col min="12551" max="12551" width="7.25" style="325" customWidth="1"/>
    <col min="12552" max="12552" width="6.125" style="325" customWidth="1"/>
    <col min="12553" max="12553" width="20.125" style="325" customWidth="1"/>
    <col min="12554" max="12800" width="8.875" style="325"/>
    <col min="12801" max="12801" width="5.625" style="325" customWidth="1"/>
    <col min="12802" max="12802" width="25.5" style="325" customWidth="1"/>
    <col min="12803" max="12803" width="13" style="325" customWidth="1"/>
    <col min="12804" max="12804" width="15" style="325" customWidth="1"/>
    <col min="12805" max="12805" width="8" style="325" customWidth="1"/>
    <col min="12806" max="12806" width="6.375" style="325" customWidth="1"/>
    <col min="12807" max="12807" width="7.25" style="325" customWidth="1"/>
    <col min="12808" max="12808" width="6.125" style="325" customWidth="1"/>
    <col min="12809" max="12809" width="20.125" style="325" customWidth="1"/>
    <col min="12810" max="13056" width="8.875" style="325"/>
    <col min="13057" max="13057" width="5.625" style="325" customWidth="1"/>
    <col min="13058" max="13058" width="25.5" style="325" customWidth="1"/>
    <col min="13059" max="13059" width="13" style="325" customWidth="1"/>
    <col min="13060" max="13060" width="15" style="325" customWidth="1"/>
    <col min="13061" max="13061" width="8" style="325" customWidth="1"/>
    <col min="13062" max="13062" width="6.375" style="325" customWidth="1"/>
    <col min="13063" max="13063" width="7.25" style="325" customWidth="1"/>
    <col min="13064" max="13064" width="6.125" style="325" customWidth="1"/>
    <col min="13065" max="13065" width="20.125" style="325" customWidth="1"/>
    <col min="13066" max="13312" width="8.875" style="325"/>
    <col min="13313" max="13313" width="5.625" style="325" customWidth="1"/>
    <col min="13314" max="13314" width="25.5" style="325" customWidth="1"/>
    <col min="13315" max="13315" width="13" style="325" customWidth="1"/>
    <col min="13316" max="13316" width="15" style="325" customWidth="1"/>
    <col min="13317" max="13317" width="8" style="325" customWidth="1"/>
    <col min="13318" max="13318" width="6.375" style="325" customWidth="1"/>
    <col min="13319" max="13319" width="7.25" style="325" customWidth="1"/>
    <col min="13320" max="13320" width="6.125" style="325" customWidth="1"/>
    <col min="13321" max="13321" width="20.125" style="325" customWidth="1"/>
    <col min="13322" max="13568" width="8.875" style="325"/>
    <col min="13569" max="13569" width="5.625" style="325" customWidth="1"/>
    <col min="13570" max="13570" width="25.5" style="325" customWidth="1"/>
    <col min="13571" max="13571" width="13" style="325" customWidth="1"/>
    <col min="13572" max="13572" width="15" style="325" customWidth="1"/>
    <col min="13573" max="13573" width="8" style="325" customWidth="1"/>
    <col min="13574" max="13574" width="6.375" style="325" customWidth="1"/>
    <col min="13575" max="13575" width="7.25" style="325" customWidth="1"/>
    <col min="13576" max="13576" width="6.125" style="325" customWidth="1"/>
    <col min="13577" max="13577" width="20.125" style="325" customWidth="1"/>
    <col min="13578" max="13824" width="8.875" style="325"/>
    <col min="13825" max="13825" width="5.625" style="325" customWidth="1"/>
    <col min="13826" max="13826" width="25.5" style="325" customWidth="1"/>
    <col min="13827" max="13827" width="13" style="325" customWidth="1"/>
    <col min="13828" max="13828" width="15" style="325" customWidth="1"/>
    <col min="13829" max="13829" width="8" style="325" customWidth="1"/>
    <col min="13830" max="13830" width="6.375" style="325" customWidth="1"/>
    <col min="13831" max="13831" width="7.25" style="325" customWidth="1"/>
    <col min="13832" max="13832" width="6.125" style="325" customWidth="1"/>
    <col min="13833" max="13833" width="20.125" style="325" customWidth="1"/>
    <col min="13834" max="14080" width="8.875" style="325"/>
    <col min="14081" max="14081" width="5.625" style="325" customWidth="1"/>
    <col min="14082" max="14082" width="25.5" style="325" customWidth="1"/>
    <col min="14083" max="14083" width="13" style="325" customWidth="1"/>
    <col min="14084" max="14084" width="15" style="325" customWidth="1"/>
    <col min="14085" max="14085" width="8" style="325" customWidth="1"/>
    <col min="14086" max="14086" width="6.375" style="325" customWidth="1"/>
    <col min="14087" max="14087" width="7.25" style="325" customWidth="1"/>
    <col min="14088" max="14088" width="6.125" style="325" customWidth="1"/>
    <col min="14089" max="14089" width="20.125" style="325" customWidth="1"/>
    <col min="14090" max="14336" width="8.875" style="325"/>
    <col min="14337" max="14337" width="5.625" style="325" customWidth="1"/>
    <col min="14338" max="14338" width="25.5" style="325" customWidth="1"/>
    <col min="14339" max="14339" width="13" style="325" customWidth="1"/>
    <col min="14340" max="14340" width="15" style="325" customWidth="1"/>
    <col min="14341" max="14341" width="8" style="325" customWidth="1"/>
    <col min="14342" max="14342" width="6.375" style="325" customWidth="1"/>
    <col min="14343" max="14343" width="7.25" style="325" customWidth="1"/>
    <col min="14344" max="14344" width="6.125" style="325" customWidth="1"/>
    <col min="14345" max="14345" width="20.125" style="325" customWidth="1"/>
    <col min="14346" max="14592" width="8.875" style="325"/>
    <col min="14593" max="14593" width="5.625" style="325" customWidth="1"/>
    <col min="14594" max="14594" width="25.5" style="325" customWidth="1"/>
    <col min="14595" max="14595" width="13" style="325" customWidth="1"/>
    <col min="14596" max="14596" width="15" style="325" customWidth="1"/>
    <col min="14597" max="14597" width="8" style="325" customWidth="1"/>
    <col min="14598" max="14598" width="6.375" style="325" customWidth="1"/>
    <col min="14599" max="14599" width="7.25" style="325" customWidth="1"/>
    <col min="14600" max="14600" width="6.125" style="325" customWidth="1"/>
    <col min="14601" max="14601" width="20.125" style="325" customWidth="1"/>
    <col min="14602" max="14848" width="8.875" style="325"/>
    <col min="14849" max="14849" width="5.625" style="325" customWidth="1"/>
    <col min="14850" max="14850" width="25.5" style="325" customWidth="1"/>
    <col min="14851" max="14851" width="13" style="325" customWidth="1"/>
    <col min="14852" max="14852" width="15" style="325" customWidth="1"/>
    <col min="14853" max="14853" width="8" style="325" customWidth="1"/>
    <col min="14854" max="14854" width="6.375" style="325" customWidth="1"/>
    <col min="14855" max="14855" width="7.25" style="325" customWidth="1"/>
    <col min="14856" max="14856" width="6.125" style="325" customWidth="1"/>
    <col min="14857" max="14857" width="20.125" style="325" customWidth="1"/>
    <col min="14858" max="15104" width="8.875" style="325"/>
    <col min="15105" max="15105" width="5.625" style="325" customWidth="1"/>
    <col min="15106" max="15106" width="25.5" style="325" customWidth="1"/>
    <col min="15107" max="15107" width="13" style="325" customWidth="1"/>
    <col min="15108" max="15108" width="15" style="325" customWidth="1"/>
    <col min="15109" max="15109" width="8" style="325" customWidth="1"/>
    <col min="15110" max="15110" width="6.375" style="325" customWidth="1"/>
    <col min="15111" max="15111" width="7.25" style="325" customWidth="1"/>
    <col min="15112" max="15112" width="6.125" style="325" customWidth="1"/>
    <col min="15113" max="15113" width="20.125" style="325" customWidth="1"/>
    <col min="15114" max="15360" width="8.875" style="325"/>
    <col min="15361" max="15361" width="5.625" style="325" customWidth="1"/>
    <col min="15362" max="15362" width="25.5" style="325" customWidth="1"/>
    <col min="15363" max="15363" width="13" style="325" customWidth="1"/>
    <col min="15364" max="15364" width="15" style="325" customWidth="1"/>
    <col min="15365" max="15365" width="8" style="325" customWidth="1"/>
    <col min="15366" max="15366" width="6.375" style="325" customWidth="1"/>
    <col min="15367" max="15367" width="7.25" style="325" customWidth="1"/>
    <col min="15368" max="15368" width="6.125" style="325" customWidth="1"/>
    <col min="15369" max="15369" width="20.125" style="325" customWidth="1"/>
    <col min="15370" max="15616" width="8.875" style="325"/>
    <col min="15617" max="15617" width="5.625" style="325" customWidth="1"/>
    <col min="15618" max="15618" width="25.5" style="325" customWidth="1"/>
    <col min="15619" max="15619" width="13" style="325" customWidth="1"/>
    <col min="15620" max="15620" width="15" style="325" customWidth="1"/>
    <col min="15621" max="15621" width="8" style="325" customWidth="1"/>
    <col min="15622" max="15622" width="6.375" style="325" customWidth="1"/>
    <col min="15623" max="15623" width="7.25" style="325" customWidth="1"/>
    <col min="15624" max="15624" width="6.125" style="325" customWidth="1"/>
    <col min="15625" max="15625" width="20.125" style="325" customWidth="1"/>
    <col min="15626" max="15872" width="8.875" style="325"/>
    <col min="15873" max="15873" width="5.625" style="325" customWidth="1"/>
    <col min="15874" max="15874" width="25.5" style="325" customWidth="1"/>
    <col min="15875" max="15875" width="13" style="325" customWidth="1"/>
    <col min="15876" max="15876" width="15" style="325" customWidth="1"/>
    <col min="15877" max="15877" width="8" style="325" customWidth="1"/>
    <col min="15878" max="15878" width="6.375" style="325" customWidth="1"/>
    <col min="15879" max="15879" width="7.25" style="325" customWidth="1"/>
    <col min="15880" max="15880" width="6.125" style="325" customWidth="1"/>
    <col min="15881" max="15881" width="20.125" style="325" customWidth="1"/>
    <col min="15882" max="16128" width="8.875" style="325"/>
    <col min="16129" max="16129" width="5.625" style="325" customWidth="1"/>
    <col min="16130" max="16130" width="25.5" style="325" customWidth="1"/>
    <col min="16131" max="16131" width="13" style="325" customWidth="1"/>
    <col min="16132" max="16132" width="15" style="325" customWidth="1"/>
    <col min="16133" max="16133" width="8" style="325" customWidth="1"/>
    <col min="16134" max="16134" width="6.375" style="325" customWidth="1"/>
    <col min="16135" max="16135" width="7.25" style="325" customWidth="1"/>
    <col min="16136" max="16136" width="6.125" style="325" customWidth="1"/>
    <col min="16137" max="16137" width="20.125" style="325" customWidth="1"/>
    <col min="16138" max="16384" width="8.875" style="325"/>
  </cols>
  <sheetData>
    <row r="1" ht="24.95" customHeight="1" spans="1:9">
      <c r="A1" s="327" t="s">
        <v>287</v>
      </c>
      <c r="B1" s="327"/>
      <c r="C1" s="327"/>
      <c r="D1" s="327"/>
      <c r="E1" s="327"/>
      <c r="F1" s="327"/>
      <c r="G1" s="327"/>
      <c r="H1" s="327"/>
      <c r="I1" s="327"/>
    </row>
    <row r="2" ht="20.1" customHeight="1" spans="1:9">
      <c r="A2" s="328" t="str">
        <f>设定!B4&amp;YEAR(设定!C4)&amp;"年"&amp;MONTH(设定!C4)&amp;"月"&amp;DAY(设定!C4)&amp;"日"</f>
        <v>评估基准日：2022年3月17日</v>
      </c>
      <c r="B2" s="324"/>
      <c r="C2" s="324"/>
      <c r="D2" s="324"/>
      <c r="F2" s="324"/>
      <c r="I2" s="324"/>
    </row>
    <row r="3" ht="21.75" customHeight="1" spans="1:9">
      <c r="A3" s="329" t="str">
        <f>设定!B3&amp;设定!C3</f>
        <v>被评估单位：江阴市金捷利制管有限公司</v>
      </c>
      <c r="B3" s="330"/>
      <c r="C3" s="330"/>
      <c r="D3" s="330"/>
      <c r="I3" s="347"/>
    </row>
    <row r="4" ht="20.1" customHeight="1" spans="1:9">
      <c r="A4" s="331" t="s">
        <v>20</v>
      </c>
      <c r="B4" s="332" t="s">
        <v>72</v>
      </c>
      <c r="C4" s="332" t="s">
        <v>288</v>
      </c>
      <c r="D4" s="333" t="s">
        <v>289</v>
      </c>
      <c r="E4" s="333" t="s">
        <v>23</v>
      </c>
      <c r="F4" s="331" t="s">
        <v>75</v>
      </c>
      <c r="G4" s="333" t="s">
        <v>290</v>
      </c>
      <c r="H4" s="334" t="s">
        <v>291</v>
      </c>
      <c r="I4" s="333" t="s">
        <v>8</v>
      </c>
    </row>
    <row r="5" ht="13.5" spans="1:9">
      <c r="A5" s="331"/>
      <c r="B5" s="332"/>
      <c r="C5" s="332"/>
      <c r="D5" s="333"/>
      <c r="E5" s="333"/>
      <c r="F5" s="331"/>
      <c r="G5" s="335"/>
      <c r="H5" s="336"/>
      <c r="I5" s="333"/>
    </row>
    <row r="6" s="322" customFormat="1" ht="19.9" customHeight="1" spans="1:9">
      <c r="A6" s="337">
        <v>1</v>
      </c>
      <c r="B6" s="338" t="str">
        <f>设备类勘察表!B5</f>
        <v>焊管机</v>
      </c>
      <c r="C6" s="338" t="str">
        <f>设备类勘察表!C5</f>
        <v>32机组</v>
      </c>
      <c r="D6" s="338" t="str">
        <f>设备类勘察表!D5</f>
        <v>张家港市中原制管有限公司</v>
      </c>
      <c r="E6" s="338" t="str">
        <f>设备类勘察表!G5</f>
        <v>套</v>
      </c>
      <c r="F6" s="338">
        <f>设备类勘察表!F5</f>
        <v>1</v>
      </c>
      <c r="G6" s="337" t="str">
        <f>机器设备及辅助设施评估明细表!G7</f>
        <v>可</v>
      </c>
      <c r="H6" s="337" t="s">
        <v>292</v>
      </c>
      <c r="I6" s="348"/>
    </row>
    <row r="7" ht="19.9" customHeight="1" spans="1:9">
      <c r="A7" s="337">
        <v>2</v>
      </c>
      <c r="B7" s="338" t="str">
        <f>设备类勘察表!B6</f>
        <v>焊管机</v>
      </c>
      <c r="C7" s="338" t="str">
        <f>设备类勘察表!C6</f>
        <v>ZY32机组</v>
      </c>
      <c r="D7" s="338" t="str">
        <f>设备类勘察表!D6</f>
        <v>张家港市中原制管有限公司</v>
      </c>
      <c r="E7" s="338" t="str">
        <f>设备类勘察表!G6</f>
        <v>套</v>
      </c>
      <c r="F7" s="338">
        <f>设备类勘察表!F6</f>
        <v>1</v>
      </c>
      <c r="G7" s="337" t="str">
        <f>机器设备及辅助设施评估明细表!G8</f>
        <v>可</v>
      </c>
      <c r="H7" s="337" t="s">
        <v>292</v>
      </c>
      <c r="I7" s="348"/>
    </row>
    <row r="8" ht="19.9" customHeight="1" spans="1:9">
      <c r="A8" s="337">
        <v>3</v>
      </c>
      <c r="B8" s="338" t="str">
        <f>设备类勘察表!B7</f>
        <v>焊管机</v>
      </c>
      <c r="C8" s="338" t="str">
        <f>设备类勘察表!C7</f>
        <v>45机组</v>
      </c>
      <c r="D8" s="338" t="str">
        <f>设备类勘察表!D7</f>
        <v>扬州杨永焊管设备厂</v>
      </c>
      <c r="E8" s="338" t="str">
        <f>设备类勘察表!G7</f>
        <v>套</v>
      </c>
      <c r="F8" s="338">
        <f>设备类勘察表!F7</f>
        <v>1</v>
      </c>
      <c r="G8" s="337" t="str">
        <f>机器设备及辅助设施评估明细表!G9</f>
        <v>可</v>
      </c>
      <c r="H8" s="337" t="s">
        <v>292</v>
      </c>
      <c r="I8" s="348"/>
    </row>
    <row r="9" ht="19.9" customHeight="1" spans="1:9">
      <c r="A9" s="337">
        <v>4</v>
      </c>
      <c r="B9" s="338" t="str">
        <f>设备类勘察表!B8</f>
        <v>焊管机</v>
      </c>
      <c r="C9" s="338" t="str">
        <f>设备类勘察表!C8</f>
        <v>28机组</v>
      </c>
      <c r="D9" s="338" t="str">
        <f>设备类勘察表!D8</f>
        <v>扬州杨永焊管设备厂</v>
      </c>
      <c r="E9" s="338" t="str">
        <f>设备类勘察表!G8</f>
        <v>套</v>
      </c>
      <c r="F9" s="338">
        <f>设备类勘察表!F8</f>
        <v>1</v>
      </c>
      <c r="G9" s="337" t="str">
        <f>机器设备及辅助设施评估明细表!G10</f>
        <v>可</v>
      </c>
      <c r="H9" s="337" t="s">
        <v>292</v>
      </c>
      <c r="I9" s="348"/>
    </row>
    <row r="10" ht="19.9" customHeight="1" spans="1:9">
      <c r="A10" s="337">
        <v>5</v>
      </c>
      <c r="B10" s="338" t="str">
        <f>设备类勘察表!B12</f>
        <v>圆锯机</v>
      </c>
      <c r="C10" s="338" t="str">
        <f>设备类勘察表!C12</f>
        <v>YJ275Q 300型号</v>
      </c>
      <c r="D10" s="338" t="str">
        <f>设备类勘察表!D12</f>
        <v>江苏合丰机械制造有限公司</v>
      </c>
      <c r="E10" s="338" t="str">
        <f>设备类勘察表!G12</f>
        <v>套</v>
      </c>
      <c r="F10" s="338">
        <f>设备类勘察表!F12</f>
        <v>1</v>
      </c>
      <c r="G10" s="337" t="str">
        <f>机器设备及辅助设施评估明细表!G14</f>
        <v>可</v>
      </c>
      <c r="H10" s="337" t="s">
        <v>292</v>
      </c>
      <c r="I10" s="348"/>
    </row>
    <row r="11" ht="19.9" customHeight="1" spans="1:9">
      <c r="A11" s="337">
        <v>6</v>
      </c>
      <c r="B11" s="338" t="str">
        <f>设备类勘察表!B13</f>
        <v>圆锯机</v>
      </c>
      <c r="C11" s="338" t="str">
        <f>设备类勘察表!C13</f>
        <v>300型号</v>
      </c>
      <c r="D11" s="338" t="str">
        <f>设备类勘察表!D13</f>
        <v>江苏合丰机械制造有限公司</v>
      </c>
      <c r="E11" s="338" t="str">
        <f>设备类勘察表!G13</f>
        <v>套</v>
      </c>
      <c r="F11" s="338">
        <f>设备类勘察表!F13</f>
        <v>1</v>
      </c>
      <c r="G11" s="337" t="str">
        <f>机器设备及辅助设施评估明细表!G15</f>
        <v>可</v>
      </c>
      <c r="H11" s="337" t="s">
        <v>292</v>
      </c>
      <c r="I11" s="348"/>
    </row>
    <row r="12" ht="19.9" customHeight="1" spans="1:9">
      <c r="A12" s="337">
        <v>7</v>
      </c>
      <c r="B12" s="338" t="str">
        <f>设备类勘察表!B14</f>
        <v>圆锯机</v>
      </c>
      <c r="C12" s="338" t="str">
        <f>设备类勘察表!C14</f>
        <v>300型号</v>
      </c>
      <c r="D12" s="338" t="str">
        <f>设备类勘察表!D14</f>
        <v>江苏合丰机械制造有限公司</v>
      </c>
      <c r="E12" s="338" t="str">
        <f>设备类勘察表!G14</f>
        <v>套</v>
      </c>
      <c r="F12" s="338">
        <f>设备类勘察表!F14</f>
        <v>1</v>
      </c>
      <c r="G12" s="337" t="str">
        <f>机器设备及辅助设施评估明细表!G16</f>
        <v>可</v>
      </c>
      <c r="H12" s="337" t="s">
        <v>292</v>
      </c>
      <c r="I12" s="348"/>
    </row>
    <row r="13" ht="19.9" customHeight="1" spans="1:9">
      <c r="A13" s="337">
        <v>8</v>
      </c>
      <c r="B13" s="338" t="str">
        <f>设备类勘察表!B15</f>
        <v>倒角机</v>
      </c>
      <c r="C13" s="338" t="str">
        <f>设备类勘察表!C15</f>
        <v>/</v>
      </c>
      <c r="D13" s="338" t="str">
        <f>设备类勘察表!D15</f>
        <v>江阴</v>
      </c>
      <c r="E13" s="338" t="str">
        <f>设备类勘察表!G15</f>
        <v>套</v>
      </c>
      <c r="F13" s="338">
        <f>设备类勘察表!F15</f>
        <v>1</v>
      </c>
      <c r="G13" s="337" t="str">
        <f>机器设备及辅助设施评估明细表!G17</f>
        <v>可</v>
      </c>
      <c r="H13" s="337" t="s">
        <v>292</v>
      </c>
      <c r="I13" s="348"/>
    </row>
    <row r="14" ht="19.9" customHeight="1" spans="1:9">
      <c r="A14" s="337">
        <v>9</v>
      </c>
      <c r="B14" s="338" t="str">
        <f>设备类勘察表!B16</f>
        <v>分剪机</v>
      </c>
      <c r="C14" s="338" t="str">
        <f>设备类勘察表!C16</f>
        <v>/</v>
      </c>
      <c r="D14" s="338" t="str">
        <f>设备类勘察表!D16</f>
        <v>江阴</v>
      </c>
      <c r="E14" s="338" t="str">
        <f>设备类勘察表!G16</f>
        <v>套</v>
      </c>
      <c r="F14" s="338">
        <f>设备类勘察表!F16</f>
        <v>1</v>
      </c>
      <c r="G14" s="337" t="str">
        <f>机器设备及辅助设施评估明细表!G18</f>
        <v>可</v>
      </c>
      <c r="H14" s="337" t="s">
        <v>292</v>
      </c>
      <c r="I14" s="348"/>
    </row>
    <row r="15" ht="19.9" customHeight="1" spans="1:9">
      <c r="A15" s="337">
        <v>10</v>
      </c>
      <c r="B15" s="338" t="str">
        <f>设备类勘察表!B17</f>
        <v>全自动切管机</v>
      </c>
      <c r="C15" s="338" t="str">
        <f>设备类勘察表!C17</f>
        <v>YS-350CNC</v>
      </c>
      <c r="D15" s="338" t="str">
        <f>设备类勘察表!D17</f>
        <v>张家港友胜机械制造有限公司</v>
      </c>
      <c r="E15" s="338" t="str">
        <f>设备类勘察表!G17</f>
        <v>套</v>
      </c>
      <c r="F15" s="338">
        <f>设备类勘察表!F17</f>
        <v>1</v>
      </c>
      <c r="G15" s="337" t="str">
        <f>机器设备及辅助设施评估明细表!G19</f>
        <v>可</v>
      </c>
      <c r="H15" s="337" t="s">
        <v>292</v>
      </c>
      <c r="I15" s="348"/>
    </row>
    <row r="16" ht="19.9" customHeight="1" spans="1:9">
      <c r="A16" s="337">
        <v>11</v>
      </c>
      <c r="B16" s="338" t="str">
        <f>设备类勘察表!B18</f>
        <v>空压机</v>
      </c>
      <c r="C16" s="338" t="str">
        <f>设备类勘察表!C18</f>
        <v>螺杆式</v>
      </c>
      <c r="D16" s="338" t="str">
        <f>设备类勘察表!D18</f>
        <v>泉州市华德机电设备有限公司</v>
      </c>
      <c r="E16" s="338" t="str">
        <f>设备类勘察表!G18</f>
        <v>套</v>
      </c>
      <c r="F16" s="338">
        <f>设备类勘察表!F18</f>
        <v>2</v>
      </c>
      <c r="G16" s="337" t="str">
        <f>机器设备及辅助设施评估明细表!G20</f>
        <v>可</v>
      </c>
      <c r="H16" s="337" t="s">
        <v>292</v>
      </c>
      <c r="I16" s="348"/>
    </row>
    <row r="17" ht="19.9" customHeight="1" spans="1:9">
      <c r="A17" s="337">
        <v>12</v>
      </c>
      <c r="B17" s="338" t="str">
        <f>设备类勘察表!B20</f>
        <v>叉车</v>
      </c>
      <c r="C17" s="338" t="str">
        <f>设备类勘察表!C20</f>
        <v>3吨杭叉</v>
      </c>
      <c r="D17" s="338" t="str">
        <f>设备类勘察表!D20</f>
        <v>浙江杭叉</v>
      </c>
      <c r="E17" s="338" t="str">
        <f>设备类勘察表!G20</f>
        <v>台</v>
      </c>
      <c r="F17" s="338">
        <f>设备类勘察表!F20</f>
        <v>1</v>
      </c>
      <c r="G17" s="337" t="str">
        <f>机器设备及辅助设施评估明细表!G22</f>
        <v>可</v>
      </c>
      <c r="H17" s="337" t="s">
        <v>292</v>
      </c>
      <c r="I17" s="348"/>
    </row>
    <row r="18" ht="19.9" customHeight="1" spans="1:9">
      <c r="A18" s="337">
        <v>13</v>
      </c>
      <c r="B18" s="338" t="str">
        <f>设备类勘察表!B21</f>
        <v>磨床</v>
      </c>
      <c r="C18" s="338" t="str">
        <f>设备类勘察表!C21</f>
        <v>外圆磨床</v>
      </c>
      <c r="D18" s="338" t="str">
        <f>设备类勘察表!D21</f>
        <v>上海机械厂</v>
      </c>
      <c r="E18" s="338" t="str">
        <f>设备类勘察表!G21</f>
        <v>台</v>
      </c>
      <c r="F18" s="338">
        <f>设备类勘察表!F21</f>
        <v>1</v>
      </c>
      <c r="G18" s="337" t="str">
        <f>机器设备及辅助设施评估明细表!G23</f>
        <v>可</v>
      </c>
      <c r="H18" s="337" t="s">
        <v>292</v>
      </c>
      <c r="I18" s="348"/>
    </row>
    <row r="19" ht="19.9" customHeight="1" spans="1:9">
      <c r="A19" s="337">
        <v>14</v>
      </c>
      <c r="B19" s="338" t="str">
        <f>设备类勘察表!B22</f>
        <v>行车</v>
      </c>
      <c r="C19" s="338" t="str">
        <f>设备类勘察表!C22</f>
        <v>2T</v>
      </c>
      <c r="D19" s="338" t="str">
        <f>设备类勘察表!D22</f>
        <v>江阴市腾祥起重机械有限公司</v>
      </c>
      <c r="E19" s="338" t="str">
        <f>设备类勘察表!G22</f>
        <v>台</v>
      </c>
      <c r="F19" s="338">
        <f>设备类勘察表!F22</f>
        <v>6</v>
      </c>
      <c r="G19" s="337" t="str">
        <f>机器设备及辅助设施评估明细表!G24</f>
        <v>可</v>
      </c>
      <c r="H19" s="337" t="s">
        <v>292</v>
      </c>
      <c r="I19" s="348"/>
    </row>
    <row r="20" ht="19.9" customHeight="1" spans="1:9">
      <c r="A20" s="337">
        <v>15</v>
      </c>
      <c r="B20" s="338" t="str">
        <f>设备类勘察表!B23</f>
        <v>行车</v>
      </c>
      <c r="C20" s="338" t="str">
        <f>设备类勘察表!C23</f>
        <v>2.9T</v>
      </c>
      <c r="D20" s="338" t="str">
        <f>设备类勘察表!D23</f>
        <v>江阴市鑫马起重机械有限公司</v>
      </c>
      <c r="E20" s="338" t="str">
        <f>设备类勘察表!G23</f>
        <v>台</v>
      </c>
      <c r="F20" s="338">
        <f>设备类勘察表!F23</f>
        <v>2</v>
      </c>
      <c r="G20" s="337" t="str">
        <f>机器设备及辅助设施评估明细表!G57</f>
        <v>否</v>
      </c>
      <c r="H20" s="337" t="s">
        <v>292</v>
      </c>
      <c r="I20" s="348"/>
    </row>
    <row r="21" ht="19.9" customHeight="1" spans="1:9">
      <c r="A21" s="337">
        <v>16</v>
      </c>
      <c r="B21" s="338" t="str">
        <f>设备类勘察表!B24</f>
        <v>行车</v>
      </c>
      <c r="C21" s="338" t="str">
        <f>设备类勘察表!C24</f>
        <v>5T</v>
      </c>
      <c r="D21" s="338" t="str">
        <f>设备类勘察表!D24</f>
        <v>江阴市鑫马起重机械有限公司</v>
      </c>
      <c r="E21" s="338" t="str">
        <f>设备类勘察表!G24</f>
        <v>台</v>
      </c>
      <c r="F21" s="338">
        <f>设备类勘察表!F24</f>
        <v>1</v>
      </c>
      <c r="G21" s="337" t="str">
        <f>机器设备及辅助设施评估明细表!G58</f>
        <v>否</v>
      </c>
      <c r="H21" s="337" t="s">
        <v>292</v>
      </c>
      <c r="I21" s="348"/>
    </row>
    <row r="22" ht="19.9" customHeight="1" spans="1:9">
      <c r="A22" s="337">
        <v>17</v>
      </c>
      <c r="B22" s="338" t="str">
        <f>设备类勘察表!B25</f>
        <v>葫芦</v>
      </c>
      <c r="C22" s="338" t="str">
        <f>设备类勘察表!C25</f>
        <v>800KG</v>
      </c>
      <c r="D22" s="338">
        <f>设备类勘察表!D25</f>
        <v>0</v>
      </c>
      <c r="E22" s="338" t="str">
        <f>设备类勘察表!G25</f>
        <v>台</v>
      </c>
      <c r="F22" s="338">
        <f>设备类勘察表!F25</f>
        <v>4</v>
      </c>
      <c r="G22" s="337" t="str">
        <f>机器设备及辅助设施评估明细表!G59</f>
        <v>否</v>
      </c>
      <c r="H22" s="337" t="s">
        <v>292</v>
      </c>
      <c r="I22" s="348"/>
    </row>
    <row r="23" ht="19.9" customHeight="1" spans="1:9">
      <c r="A23" s="337">
        <v>18</v>
      </c>
      <c r="B23" s="338" t="str">
        <f>设备类勘察表!B26</f>
        <v>泵</v>
      </c>
      <c r="C23" s="338">
        <f>设备类勘察表!C26</f>
        <v>0</v>
      </c>
      <c r="D23" s="338">
        <f>设备类勘察表!D26</f>
        <v>0</v>
      </c>
      <c r="E23" s="338" t="str">
        <f>设备类勘察表!G26</f>
        <v>台</v>
      </c>
      <c r="F23" s="338">
        <f>设备类勘察表!F26</f>
        <v>6</v>
      </c>
      <c r="G23" s="337" t="str">
        <f>机器设备及辅助设施评估明细表!G61</f>
        <v>否</v>
      </c>
      <c r="H23" s="337" t="s">
        <v>292</v>
      </c>
      <c r="I23" s="348"/>
    </row>
    <row r="24" ht="19.9" customHeight="1" spans="1:9">
      <c r="A24" s="337">
        <v>19</v>
      </c>
      <c r="B24" s="338" t="str">
        <f>设备类勘察表!B27</f>
        <v>电机</v>
      </c>
      <c r="C24" s="338">
        <f>设备类勘察表!C27</f>
        <v>0</v>
      </c>
      <c r="D24" s="338">
        <f>设备类勘察表!D27</f>
        <v>0</v>
      </c>
      <c r="E24" s="338" t="str">
        <f>设备类勘察表!G27</f>
        <v>台</v>
      </c>
      <c r="F24" s="338">
        <f>设备类勘察表!F27</f>
        <v>30</v>
      </c>
      <c r="G24" s="337" t="str">
        <f>机器设备及辅助设施评估明细表!G62</f>
        <v>可</v>
      </c>
      <c r="H24" s="337" t="s">
        <v>292</v>
      </c>
      <c r="I24" s="348"/>
    </row>
    <row r="25" ht="19.9" customHeight="1" spans="1:9">
      <c r="A25" s="337">
        <v>20</v>
      </c>
      <c r="B25" s="338" t="str">
        <f>设备类勘察表!B28</f>
        <v>烤箱</v>
      </c>
      <c r="C25" s="338">
        <f>设备类勘察表!C28</f>
        <v>0</v>
      </c>
      <c r="D25" s="338">
        <f>设备类勘察表!D28</f>
        <v>0</v>
      </c>
      <c r="E25" s="338" t="str">
        <f>设备类勘察表!G28</f>
        <v>台</v>
      </c>
      <c r="F25" s="338">
        <f>设备类勘察表!F28</f>
        <v>1</v>
      </c>
      <c r="G25" s="337" t="str">
        <f>机器设备及辅助设施评估明细表!G63</f>
        <v>可</v>
      </c>
      <c r="H25" s="337" t="s">
        <v>292</v>
      </c>
      <c r="I25" s="348"/>
    </row>
    <row r="26" ht="19.9" customHeight="1" spans="1:9">
      <c r="A26" s="337">
        <v>21</v>
      </c>
      <c r="B26" s="338" t="str">
        <f>设备类勘察表!B29</f>
        <v>开水炉</v>
      </c>
      <c r="C26" s="338">
        <f>设备类勘察表!C29</f>
        <v>0</v>
      </c>
      <c r="D26" s="338">
        <f>设备类勘察表!D29</f>
        <v>0</v>
      </c>
      <c r="E26" s="338" t="str">
        <f>设备类勘察表!G29</f>
        <v>只</v>
      </c>
      <c r="F26" s="338">
        <f>设备类勘察表!F29</f>
        <v>1</v>
      </c>
      <c r="G26" s="337" t="str">
        <f>机器设备及辅助设施评估明细表!G64</f>
        <v>可</v>
      </c>
      <c r="H26" s="337" t="s">
        <v>292</v>
      </c>
      <c r="I26" s="348"/>
    </row>
    <row r="27" ht="19.9" customHeight="1" spans="1:9">
      <c r="A27" s="337">
        <v>22</v>
      </c>
      <c r="B27" s="338" t="str">
        <f>设备类勘察表!B30</f>
        <v>风帽</v>
      </c>
      <c r="C27" s="338">
        <f>设备类勘察表!C30</f>
        <v>0</v>
      </c>
      <c r="D27" s="338">
        <f>设备类勘察表!D30</f>
        <v>0</v>
      </c>
      <c r="E27" s="338" t="str">
        <f>设备类勘察表!G30</f>
        <v>只</v>
      </c>
      <c r="F27" s="338">
        <f>设备类勘察表!F30</f>
        <v>12</v>
      </c>
      <c r="G27" s="337" t="str">
        <f>机器设备及辅助设施评估明细表!G65</f>
        <v>否</v>
      </c>
      <c r="H27" s="337" t="s">
        <v>292</v>
      </c>
      <c r="I27" s="348"/>
    </row>
    <row r="28" ht="19.9" customHeight="1" spans="1:9">
      <c r="A28" s="337">
        <v>23</v>
      </c>
      <c r="B28" s="338" t="str">
        <f>设备类勘察表!B31</f>
        <v>储气罐</v>
      </c>
      <c r="C28" s="338">
        <f>设备类勘察表!C31</f>
        <v>0</v>
      </c>
      <c r="D28" s="338">
        <f>设备类勘察表!D31</f>
        <v>0</v>
      </c>
      <c r="E28" s="338" t="str">
        <f>设备类勘察表!G31</f>
        <v>只</v>
      </c>
      <c r="F28" s="338">
        <f>设备类勘察表!F31</f>
        <v>1</v>
      </c>
      <c r="G28" s="337" t="str">
        <f>机器设备及辅助设施评估明细表!G66</f>
        <v>否</v>
      </c>
      <c r="H28" s="337" t="s">
        <v>292</v>
      </c>
      <c r="I28" s="348"/>
    </row>
    <row r="29" ht="19.9" customHeight="1" spans="1:9">
      <c r="A29" s="337">
        <v>24</v>
      </c>
      <c r="B29" s="338" t="str">
        <f>设备类勘察表!B32</f>
        <v>切割机</v>
      </c>
      <c r="C29" s="338">
        <f>设备类勘察表!C32</f>
        <v>0</v>
      </c>
      <c r="D29" s="338">
        <f>设备类勘察表!D32</f>
        <v>0</v>
      </c>
      <c r="E29" s="338" t="str">
        <f>设备类勘察表!G32</f>
        <v>台</v>
      </c>
      <c r="F29" s="338">
        <f>设备类勘察表!F32</f>
        <v>1</v>
      </c>
      <c r="G29" s="337" t="str">
        <f>机器设备及辅助设施评估明细表!G67</f>
        <v>否</v>
      </c>
      <c r="H29" s="337" t="s">
        <v>292</v>
      </c>
      <c r="I29" s="348"/>
    </row>
    <row r="30" ht="19.9" customHeight="1" spans="1:9">
      <c r="A30" s="337">
        <v>25</v>
      </c>
      <c r="B30" s="338" t="e">
        <f>设备类勘察表!#REF!</f>
        <v>#REF!</v>
      </c>
      <c r="C30" s="338" t="e">
        <f>设备类勘察表!#REF!</f>
        <v>#REF!</v>
      </c>
      <c r="D30" s="338" t="e">
        <f>设备类勘察表!#REF!</f>
        <v>#REF!</v>
      </c>
      <c r="E30" s="338" t="e">
        <f>设备类勘察表!#REF!</f>
        <v>#REF!</v>
      </c>
      <c r="F30" s="338" t="e">
        <f>设备类勘察表!#REF!</f>
        <v>#REF!</v>
      </c>
      <c r="G30" s="337" t="str">
        <f>机器设备及辅助设施评估明细表!G68</f>
        <v>否</v>
      </c>
      <c r="H30" s="337" t="s">
        <v>292</v>
      </c>
      <c r="I30" s="348"/>
    </row>
    <row r="31" ht="19.9" customHeight="1" spans="1:9">
      <c r="A31" s="337">
        <v>26</v>
      </c>
      <c r="B31" s="338" t="e">
        <f>设备类勘察表!#REF!</f>
        <v>#REF!</v>
      </c>
      <c r="C31" s="338" t="e">
        <f>设备类勘察表!#REF!</f>
        <v>#REF!</v>
      </c>
      <c r="D31" s="338" t="e">
        <f>设备类勘察表!#REF!</f>
        <v>#REF!</v>
      </c>
      <c r="E31" s="338" t="e">
        <f>设备类勘察表!#REF!</f>
        <v>#REF!</v>
      </c>
      <c r="F31" s="338" t="e">
        <f>设备类勘察表!#REF!</f>
        <v>#REF!</v>
      </c>
      <c r="G31" s="337" t="str">
        <f>机器设备及辅助设施评估明细表!G69</f>
        <v>否</v>
      </c>
      <c r="H31" s="337" t="s">
        <v>292</v>
      </c>
      <c r="I31" s="348"/>
    </row>
    <row r="32" ht="19.9" customHeight="1" spans="1:9">
      <c r="A32" s="337">
        <v>27</v>
      </c>
      <c r="B32" s="338" t="e">
        <f>设备类勘察表!#REF!</f>
        <v>#REF!</v>
      </c>
      <c r="C32" s="338" t="e">
        <f>设备类勘察表!#REF!</f>
        <v>#REF!</v>
      </c>
      <c r="D32" s="338" t="e">
        <f>设备类勘察表!#REF!</f>
        <v>#REF!</v>
      </c>
      <c r="E32" s="338" t="e">
        <f>设备类勘察表!#REF!</f>
        <v>#REF!</v>
      </c>
      <c r="F32" s="338" t="e">
        <f>设备类勘察表!#REF!</f>
        <v>#REF!</v>
      </c>
      <c r="G32" s="337">
        <f>机器设备及辅助设施评估明细表!G117</f>
        <v>0</v>
      </c>
      <c r="H32" s="337" t="s">
        <v>292</v>
      </c>
      <c r="I32" s="348"/>
    </row>
    <row r="33" ht="19.9" customHeight="1" spans="1:9">
      <c r="A33" s="337"/>
      <c r="B33" s="338"/>
      <c r="C33" s="338"/>
      <c r="D33" s="338"/>
      <c r="E33" s="338"/>
      <c r="F33" s="338"/>
      <c r="G33" s="337"/>
      <c r="H33" s="337"/>
      <c r="I33" s="348"/>
    </row>
    <row r="34" ht="19.9" customHeight="1" spans="1:9">
      <c r="A34" s="337"/>
      <c r="B34" s="338"/>
      <c r="C34" s="338"/>
      <c r="D34" s="338"/>
      <c r="E34" s="338"/>
      <c r="F34" s="338"/>
      <c r="G34" s="337"/>
      <c r="H34" s="337"/>
      <c r="I34" s="348"/>
    </row>
    <row r="35" ht="19.9" customHeight="1" spans="1:9">
      <c r="A35" s="337"/>
      <c r="B35" s="338"/>
      <c r="C35" s="338"/>
      <c r="D35" s="338"/>
      <c r="E35" s="338"/>
      <c r="F35" s="338"/>
      <c r="G35" s="337"/>
      <c r="H35" s="337"/>
      <c r="I35" s="348"/>
    </row>
    <row r="36" ht="19.9" customHeight="1" spans="1:9">
      <c r="A36" s="337"/>
      <c r="B36" s="338"/>
      <c r="C36" s="338"/>
      <c r="D36" s="338"/>
      <c r="E36" s="338"/>
      <c r="F36" s="338"/>
      <c r="G36" s="337"/>
      <c r="H36" s="337"/>
      <c r="I36" s="348"/>
    </row>
    <row r="37" ht="19.9" customHeight="1" spans="1:9">
      <c r="A37" s="337"/>
      <c r="B37" s="338"/>
      <c r="C37" s="338"/>
      <c r="D37" s="338"/>
      <c r="E37" s="338"/>
      <c r="F37" s="338"/>
      <c r="G37" s="337"/>
      <c r="H37" s="337"/>
      <c r="I37" s="348"/>
    </row>
    <row r="38" ht="19.9" customHeight="1" spans="1:9">
      <c r="A38" s="337"/>
      <c r="B38" s="338"/>
      <c r="C38" s="338"/>
      <c r="D38" s="338"/>
      <c r="E38" s="338"/>
      <c r="F38" s="338"/>
      <c r="G38" s="337"/>
      <c r="H38" s="337"/>
      <c r="I38" s="348"/>
    </row>
    <row r="39" ht="19.9" customHeight="1" spans="1:9">
      <c r="A39" s="337"/>
      <c r="B39" s="338"/>
      <c r="C39" s="338"/>
      <c r="D39" s="338"/>
      <c r="E39" s="338"/>
      <c r="F39" s="338"/>
      <c r="G39" s="337"/>
      <c r="H39" s="337"/>
      <c r="I39" s="348"/>
    </row>
    <row r="40" ht="19.9" customHeight="1" spans="1:9">
      <c r="A40" s="337"/>
      <c r="B40" s="338"/>
      <c r="C40" s="338"/>
      <c r="D40" s="338"/>
      <c r="E40" s="338"/>
      <c r="F40" s="338"/>
      <c r="G40" s="337"/>
      <c r="H40" s="337"/>
      <c r="I40" s="348"/>
    </row>
    <row r="41" ht="19.9" customHeight="1" spans="1:9">
      <c r="A41" s="337"/>
      <c r="B41" s="338"/>
      <c r="C41" s="338"/>
      <c r="D41" s="338"/>
      <c r="E41" s="338"/>
      <c r="F41" s="338"/>
      <c r="G41" s="337"/>
      <c r="H41" s="337"/>
      <c r="I41" s="348"/>
    </row>
    <row r="42" ht="19.9" customHeight="1" spans="1:9">
      <c r="A42" s="337"/>
      <c r="B42" s="338"/>
      <c r="C42" s="338"/>
      <c r="D42" s="338"/>
      <c r="E42" s="338"/>
      <c r="F42" s="338"/>
      <c r="G42" s="337"/>
      <c r="H42" s="337"/>
      <c r="I42" s="348"/>
    </row>
    <row r="43" ht="19.9" customHeight="1" spans="1:9">
      <c r="A43" s="337">
        <v>28</v>
      </c>
      <c r="B43" s="338"/>
      <c r="C43" s="337"/>
      <c r="D43" s="337"/>
      <c r="E43" s="337"/>
      <c r="F43" s="337"/>
      <c r="G43" s="337"/>
      <c r="H43" s="337"/>
      <c r="I43" s="348"/>
    </row>
    <row r="44" s="322" customFormat="1" ht="19.9" customHeight="1" spans="1:9">
      <c r="A44" s="339"/>
      <c r="B44" s="339"/>
      <c r="C44" s="337"/>
      <c r="D44" s="339"/>
      <c r="E44" s="339"/>
      <c r="F44" s="339"/>
      <c r="G44" s="339"/>
      <c r="H44" s="339"/>
      <c r="I44" s="349"/>
    </row>
    <row r="45" ht="20.1" customHeight="1" spans="2:9">
      <c r="B45" s="340" t="s">
        <v>293</v>
      </c>
      <c r="C45" s="341"/>
      <c r="D45" s="341"/>
      <c r="E45" s="341"/>
      <c r="F45" s="341"/>
      <c r="G45" s="341"/>
      <c r="H45" s="341"/>
      <c r="I45" s="341"/>
    </row>
    <row r="46" ht="5.1" customHeight="1" spans="2:9">
      <c r="B46" s="342"/>
      <c r="C46" s="342"/>
      <c r="D46" s="342"/>
      <c r="E46" s="342"/>
      <c r="F46" s="342"/>
      <c r="G46" s="342"/>
      <c r="H46" s="342"/>
      <c r="I46" s="342"/>
    </row>
    <row r="47" ht="36" customHeight="1" spans="2:9">
      <c r="B47" s="343" t="s">
        <v>294</v>
      </c>
      <c r="C47" s="344"/>
      <c r="D47" s="344"/>
      <c r="E47" s="344"/>
      <c r="F47" s="344"/>
      <c r="G47" s="344"/>
      <c r="H47" s="344"/>
      <c r="I47" s="344"/>
    </row>
    <row r="48" ht="5.1" customHeight="1" spans="2:9">
      <c r="B48" s="342"/>
      <c r="C48" s="342"/>
      <c r="D48" s="342"/>
      <c r="E48" s="342"/>
      <c r="F48" s="342"/>
      <c r="G48" s="342"/>
      <c r="H48" s="342"/>
      <c r="I48" s="342"/>
    </row>
    <row r="49" ht="20.1" customHeight="1" spans="2:6">
      <c r="B49" s="323" t="s">
        <v>295</v>
      </c>
      <c r="F49" s="345" t="s">
        <v>296</v>
      </c>
    </row>
    <row r="50" s="323" customFormat="1" ht="8.45" customHeight="1" spans="1:9">
      <c r="A50" s="324"/>
      <c r="D50" s="325"/>
      <c r="E50" s="324"/>
      <c r="F50" s="325"/>
      <c r="G50" s="324"/>
      <c r="H50" s="324"/>
      <c r="I50" s="326"/>
    </row>
    <row r="51" s="323" customFormat="1" ht="24.95" customHeight="1" spans="1:9">
      <c r="A51" s="324"/>
      <c r="B51" s="346" t="s">
        <v>297</v>
      </c>
      <c r="D51" s="325"/>
      <c r="E51" s="324"/>
      <c r="F51" s="325"/>
      <c r="G51" s="324"/>
      <c r="H51" s="324"/>
      <c r="I51" s="326"/>
    </row>
    <row r="52" s="323" customFormat="1" ht="5.1" customHeight="1" spans="1:9">
      <c r="A52" s="324"/>
      <c r="D52" s="325"/>
      <c r="E52" s="324"/>
      <c r="F52" s="325"/>
      <c r="G52" s="324"/>
      <c r="H52" s="324"/>
      <c r="I52" s="326"/>
    </row>
    <row r="53" s="323" customFormat="1" ht="24.95" customHeight="1" spans="1:9">
      <c r="A53" s="324"/>
      <c r="B53" s="323" t="s">
        <v>298</v>
      </c>
      <c r="D53" s="325"/>
      <c r="E53" s="324"/>
      <c r="F53" s="325"/>
      <c r="G53" s="324"/>
      <c r="H53" s="324"/>
      <c r="I53" s="326"/>
    </row>
    <row r="54" s="323" customFormat="1" ht="24.95" customHeight="1" spans="1:9">
      <c r="A54" s="324"/>
      <c r="D54" s="325"/>
      <c r="E54" s="324"/>
      <c r="F54" s="325"/>
      <c r="G54" s="324"/>
      <c r="H54" s="324"/>
      <c r="I54" s="326"/>
    </row>
    <row r="55" s="323" customFormat="1" ht="24.95" customHeight="1" spans="1:9">
      <c r="A55" s="324"/>
      <c r="D55" s="325"/>
      <c r="E55" s="324"/>
      <c r="F55" s="325"/>
      <c r="G55" s="324"/>
      <c r="H55" s="324"/>
      <c r="I55" s="326"/>
    </row>
    <row r="56" s="323" customFormat="1" ht="24.95" customHeight="1" spans="1:9">
      <c r="A56" s="324"/>
      <c r="D56" s="325"/>
      <c r="E56" s="324"/>
      <c r="F56" s="325"/>
      <c r="G56" s="324"/>
      <c r="H56" s="324"/>
      <c r="I56" s="326"/>
    </row>
    <row r="57" s="323" customFormat="1" ht="24.95" customHeight="1" spans="1:9">
      <c r="A57" s="324"/>
      <c r="D57" s="325"/>
      <c r="E57" s="324"/>
      <c r="F57" s="325"/>
      <c r="G57" s="324"/>
      <c r="H57" s="324"/>
      <c r="I57" s="326"/>
    </row>
    <row r="58" s="323" customFormat="1" ht="24.95" customHeight="1" spans="1:9">
      <c r="A58" s="324"/>
      <c r="D58" s="325"/>
      <c r="E58" s="324"/>
      <c r="F58" s="325"/>
      <c r="G58" s="324"/>
      <c r="H58" s="324"/>
      <c r="I58" s="326"/>
    </row>
    <row r="59" s="323" customFormat="1" ht="24.95" customHeight="1" spans="1:9">
      <c r="A59" s="324"/>
      <c r="D59" s="325"/>
      <c r="E59" s="324"/>
      <c r="F59" s="325"/>
      <c r="G59" s="324"/>
      <c r="H59" s="324"/>
      <c r="I59" s="326"/>
    </row>
  </sheetData>
  <autoFilter ref="A5:I45">
    <extLst/>
  </autoFilter>
  <mergeCells count="14">
    <mergeCell ref="A1:I1"/>
    <mergeCell ref="A2:I2"/>
    <mergeCell ref="A3:D3"/>
    <mergeCell ref="B45:I45"/>
    <mergeCell ref="B47:I47"/>
    <mergeCell ref="A4:A5"/>
    <mergeCell ref="B4:B5"/>
    <mergeCell ref="C4:C5"/>
    <mergeCell ref="D4:D5"/>
    <mergeCell ref="E4:E5"/>
    <mergeCell ref="F4:F5"/>
    <mergeCell ref="G4:G5"/>
    <mergeCell ref="H4:H5"/>
    <mergeCell ref="I4:I5"/>
  </mergeCells>
  <printOptions horizontalCentered="1"/>
  <pageMargins left="0.747916666666667" right="0.354166666666667" top="0.590277777777778" bottom="0.826388888888889" header="0.354166666666667" footer="0.15625"/>
  <pageSetup paperSize="9" scale="89" fitToHeight="0" orientation="portrait"/>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设定</vt:lpstr>
      <vt:lpstr>评估工作日记</vt:lpstr>
      <vt:lpstr>物资类申报表</vt:lpstr>
      <vt:lpstr>设备类申报表</vt:lpstr>
      <vt:lpstr>物资类勘察表</vt:lpstr>
      <vt:lpstr>设备类勘察表</vt:lpstr>
      <vt:lpstr>重点设备勘察表</vt:lpstr>
      <vt:lpstr>被征收人承诺函</vt:lpstr>
      <vt:lpstr>与被征收人核对表</vt:lpstr>
      <vt:lpstr>资产评估汇总表</vt:lpstr>
      <vt:lpstr>物资类评估明细表</vt:lpstr>
      <vt:lpstr>机器设备及辅助设施评估明细表</vt:lpstr>
      <vt:lpstr>可搬迁重点设备计算表</vt:lpstr>
      <vt:lpstr>不可搬迁重点设备计算表</vt:lpstr>
      <vt:lpstr>成新率说明</vt:lpstr>
      <vt:lpstr>经济使用寿命参考表</vt:lpstr>
      <vt:lpstr>经济使用寿命（报价手册）参考表</vt:lpstr>
      <vt:lpstr>安装调试费率参考指标</vt:lpstr>
      <vt:lpstr>国内运杂费率参考指标</vt:lpstr>
      <vt:lpstr>设备基础费参考</vt:lpstr>
      <vt:lpstr>残值率参考表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天佑</cp:lastModifiedBy>
  <dcterms:created xsi:type="dcterms:W3CDTF">2006-09-16T00:00:00Z</dcterms:created>
  <dcterms:modified xsi:type="dcterms:W3CDTF">2022-03-31T05:07:12Z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5A8B21BEDCA64B5DB458C0AE3C21F286</vt:lpwstr>
  </property>
</Properties>
</file>