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75" windowWidth="20055" windowHeight="7935" tabRatio="810" firstSheet="7" activeTab="8"/>
  </bookViews>
  <sheets>
    <sheet name="Financials&gt;" sheetId="2" r:id="rId1"/>
    <sheet name="Historical'FS" sheetId="3" r:id="rId2"/>
    <sheet name="Common Size Statement" sheetId="4" r:id="rId3"/>
    <sheet name="Ratio Analysis" sheetId="5" r:id="rId4"/>
    <sheet name="Intrinsic Growth" sheetId="6" r:id="rId5"/>
    <sheet name="Forcasting Growth Rate" sheetId="10" r:id="rId6"/>
    <sheet name="Forcasting" sheetId="11" r:id="rId7"/>
    <sheet name="WACC" sheetId="13" r:id="rId8"/>
    <sheet name="Beta - Regression" sheetId="14" r:id="rId9"/>
    <sheet name="RM" sheetId="17" r:id="rId10"/>
    <sheet name="DCF" sheetId="19" r:id="rId11"/>
    <sheet name="Football field Analysis" sheetId="22" r:id="rId12"/>
    <sheet name="Comps Valuation" sheetId="20" r:id="rId13"/>
    <sheet name="Data Room&gt;" sheetId="9" r:id="rId14"/>
    <sheet name="Data Sheet" sheetId="1" r:id="rId15"/>
    <sheet name="CF Data" sheetId="7" r:id="rId16"/>
    <sheet name="Raw Data" sheetId="8" r:id="rId17"/>
    <sheet name="DataBetaComps" sheetId="16" r:id="rId18"/>
    <sheet name="Sheet2" sheetId="15" state="hidden" r:id="rId19"/>
    <sheet name="Data Comps" sheetId="18" r:id="rId20"/>
    <sheet name="Sheet5" sheetId="21" r:id="rId21"/>
  </sheets>
  <externalReferences>
    <externalReference r:id="rId22"/>
  </externalReferences>
  <definedNames>
    <definedName name="_xlnm._FilterDatabase" localSheetId="8" hidden="1">'Beta - Regression'!$DL$6:$DN$6</definedName>
    <definedName name="_xlnm._FilterDatabase" localSheetId="18" hidden="1">Sheet2!$B$2:$J$2</definedName>
    <definedName name="BETA">[1]Sheet3!$C$4</definedName>
    <definedName name="COST_OF_DEBT">[1]Sheet3!$C$19</definedName>
    <definedName name="COST_OF_EQUITY">[1]Sheet3!$C$17</definedName>
    <definedName name="COSTOFDEBT">[1]Sheet3!$C$5</definedName>
    <definedName name="CURRENT_SALES">[1]Sheet3!$C$33</definedName>
    <definedName name="DEBT_FUNDING">[1]Sheet3!$C$26</definedName>
    <definedName name="DEBT_VALUE">[1]Sheet3!$C$24</definedName>
    <definedName name="DEBTVALUE">[1]Sheet3!$C$8</definedName>
    <definedName name="EQUITY_FUNDING">[1]Sheet3!$C$25</definedName>
    <definedName name="EQUITY_VALUE">[1]Sheet3!$C$23</definedName>
    <definedName name="EQUITYVALUE">[1]Sheet3!$C$7</definedName>
    <definedName name="GROSS_MARGINS">[1]Sheet3!$C$35</definedName>
    <definedName name="MARKET_RETURN">[1]Sheet3!$C$14</definedName>
    <definedName name="MARKETRETURNS">[1]Sheet3!$C$3</definedName>
    <definedName name="POST_TAX_COST_OF_DEBT">[1]Sheet3!$C$21</definedName>
    <definedName name="RISK_FREE_RATE">[1]Sheet3!$C$13</definedName>
    <definedName name="RISKFREERATE">[1]Sheet3!$C$2</definedName>
    <definedName name="SALES_GROWTH">[1]Sheet3!$C$34</definedName>
    <definedName name="TAX_RATE">[1]Sheet3!$C$20</definedName>
    <definedName name="TAXRATE">[1]Sheet3!$C$6</definedName>
    <definedName name="UPDATE">'Data Sheet'!$E$1</definedName>
  </definedNames>
  <calcPr calcId="162913"/>
</workbook>
</file>

<file path=xl/calcChain.xml><?xml version="1.0" encoding="utf-8"?>
<calcChain xmlns="http://schemas.openxmlformats.org/spreadsheetml/2006/main">
  <c r="G21" i="19" l="1"/>
  <c r="G22" i="19"/>
  <c r="M18" i="20"/>
  <c r="K18" i="20"/>
  <c r="M17" i="20"/>
  <c r="K17" i="20"/>
  <c r="M16" i="20"/>
  <c r="K16" i="20"/>
  <c r="M15" i="20"/>
  <c r="K15" i="20"/>
  <c r="M14" i="20"/>
  <c r="K14" i="20"/>
  <c r="M13" i="20"/>
  <c r="K13" i="20"/>
  <c r="M12" i="20"/>
  <c r="K12" i="20"/>
  <c r="M11" i="20"/>
  <c r="K11" i="20"/>
  <c r="M10" i="20"/>
  <c r="K10" i="20"/>
  <c r="M9" i="20"/>
  <c r="K9" i="20"/>
  <c r="I4" i="18"/>
  <c r="G10" i="20" s="1"/>
  <c r="I5" i="18"/>
  <c r="G11" i="20" s="1"/>
  <c r="I6" i="18"/>
  <c r="G12" i="20" s="1"/>
  <c r="I7" i="18"/>
  <c r="G13" i="20" s="1"/>
  <c r="I8" i="18"/>
  <c r="G14" i="20" s="1"/>
  <c r="I9" i="18"/>
  <c r="G15" i="20" s="1"/>
  <c r="I10" i="18"/>
  <c r="G16" i="20" s="1"/>
  <c r="I11" i="18"/>
  <c r="G17" i="20" s="1"/>
  <c r="I12" i="18"/>
  <c r="G18" i="20" s="1"/>
  <c r="I3" i="18"/>
  <c r="G9" i="20" s="1"/>
  <c r="E18" i="20"/>
  <c r="D18" i="20"/>
  <c r="E17" i="20"/>
  <c r="D17" i="20"/>
  <c r="E16" i="20"/>
  <c r="D16" i="20"/>
  <c r="E15" i="20"/>
  <c r="D15" i="20"/>
  <c r="E14" i="20"/>
  <c r="D14" i="20"/>
  <c r="E13" i="20"/>
  <c r="D13" i="20"/>
  <c r="E12" i="20"/>
  <c r="D12" i="20"/>
  <c r="E11" i="20"/>
  <c r="D11" i="20"/>
  <c r="E10" i="20"/>
  <c r="D10" i="20"/>
  <c r="E9" i="20"/>
  <c r="D9" i="20"/>
  <c r="F4" i="18"/>
  <c r="K4" i="18" s="1"/>
  <c r="F5" i="18"/>
  <c r="K5" i="18" s="1"/>
  <c r="F6" i="18"/>
  <c r="K6" i="18" s="1"/>
  <c r="F7" i="18"/>
  <c r="K7" i="18" s="1"/>
  <c r="F8" i="18"/>
  <c r="K8" i="18" s="1"/>
  <c r="F9" i="18"/>
  <c r="K9" i="18" s="1"/>
  <c r="F10" i="18"/>
  <c r="K10" i="18" s="1"/>
  <c r="F11" i="18"/>
  <c r="K11" i="18" s="1"/>
  <c r="F12" i="18"/>
  <c r="K12" i="18" s="1"/>
  <c r="F16" i="18"/>
  <c r="K16" i="18" s="1"/>
  <c r="F17" i="18"/>
  <c r="K17" i="18" s="1"/>
  <c r="F18" i="18"/>
  <c r="K18" i="18" s="1"/>
  <c r="F19" i="18"/>
  <c r="K19" i="18" s="1"/>
  <c r="F20" i="18"/>
  <c r="K20" i="18" s="1"/>
  <c r="F21" i="18"/>
  <c r="K21" i="18" s="1"/>
  <c r="F22" i="18"/>
  <c r="K22" i="18" s="1"/>
  <c r="F23" i="18"/>
  <c r="K23" i="18" s="1"/>
  <c r="F24" i="18"/>
  <c r="K24" i="18" s="1"/>
  <c r="F25" i="18"/>
  <c r="K25" i="18" s="1"/>
  <c r="F26" i="18"/>
  <c r="K26" i="18" s="1"/>
  <c r="F27" i="18"/>
  <c r="K27" i="18" s="1"/>
  <c r="F28" i="18"/>
  <c r="K28" i="18" s="1"/>
  <c r="F29" i="18"/>
  <c r="K29" i="18" s="1"/>
  <c r="F30" i="18"/>
  <c r="K30" i="18" s="1"/>
  <c r="F3" i="18"/>
  <c r="K3" i="18" s="1"/>
  <c r="F16" i="20" l="1"/>
  <c r="Q16" i="20" s="1"/>
  <c r="F18" i="20"/>
  <c r="Q18" i="20" s="1"/>
  <c r="F17" i="20"/>
  <c r="Q17" i="20" s="1"/>
  <c r="H17" i="20"/>
  <c r="H18" i="20" l="1"/>
  <c r="O17" i="20"/>
  <c r="O18" i="20"/>
  <c r="O4" i="18" l="1"/>
  <c r="L10" i="20" s="1"/>
  <c r="O5" i="18"/>
  <c r="L11" i="20" s="1"/>
  <c r="O6" i="18"/>
  <c r="L12" i="20" s="1"/>
  <c r="O7" i="18"/>
  <c r="L13" i="20" s="1"/>
  <c r="O8" i="18"/>
  <c r="L14" i="20" s="1"/>
  <c r="O9" i="18"/>
  <c r="L15" i="20" s="1"/>
  <c r="O10" i="18"/>
  <c r="L16" i="20" s="1"/>
  <c r="O11" i="18"/>
  <c r="L17" i="20" s="1"/>
  <c r="P17" i="20" s="1"/>
  <c r="O12" i="18"/>
  <c r="L18" i="20" s="1"/>
  <c r="P18" i="20" s="1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" i="18"/>
  <c r="L9" i="20" s="1"/>
  <c r="B3" i="20"/>
  <c r="E13" i="13"/>
  <c r="F13" i="13"/>
  <c r="H13" i="13" s="1"/>
  <c r="G17" i="13"/>
  <c r="CO3" i="14"/>
  <c r="CO2" i="14"/>
  <c r="P30" i="20"/>
  <c r="P32" i="20"/>
  <c r="G33" i="19"/>
  <c r="G32" i="19"/>
  <c r="K36" i="6"/>
  <c r="H36" i="6"/>
  <c r="J33" i="1"/>
  <c r="K33" i="1"/>
  <c r="L36" i="6" s="1"/>
  <c r="C33" i="1"/>
  <c r="D33" i="1"/>
  <c r="E33" i="1"/>
  <c r="F33" i="1"/>
  <c r="G33" i="1"/>
  <c r="H33" i="1"/>
  <c r="I36" i="6" s="1"/>
  <c r="I33" i="1"/>
  <c r="J36" i="6" s="1"/>
  <c r="B33" i="1"/>
  <c r="G3" i="19"/>
  <c r="B2" i="19"/>
  <c r="I10" i="19"/>
  <c r="J10" i="19" s="1"/>
  <c r="H6" i="19"/>
  <c r="I6" i="19" s="1"/>
  <c r="J6" i="19" s="1"/>
  <c r="K6" i="19" s="1"/>
  <c r="L6" i="19" s="1"/>
  <c r="H3" i="19"/>
  <c r="I3" i="19" s="1"/>
  <c r="J3" i="19" s="1"/>
  <c r="K3" i="19" s="1"/>
  <c r="L3" i="19" s="1"/>
  <c r="B2" i="17"/>
  <c r="G5" i="19" l="1"/>
  <c r="G7" i="19" s="1"/>
  <c r="I13" i="13"/>
  <c r="F10" i="20"/>
  <c r="Q10" i="20" s="1"/>
  <c r="F12" i="20"/>
  <c r="Q12" i="20" s="1"/>
  <c r="F14" i="20"/>
  <c r="Q14" i="20" s="1"/>
  <c r="F9" i="20"/>
  <c r="Q9" i="20" s="1"/>
  <c r="F11" i="20"/>
  <c r="Q11" i="20" s="1"/>
  <c r="F13" i="20"/>
  <c r="Q13" i="20" s="1"/>
  <c r="F15" i="20"/>
  <c r="Q15" i="20" s="1"/>
  <c r="O30" i="20"/>
  <c r="Q30" i="20"/>
  <c r="O32" i="20"/>
  <c r="Q32" i="20"/>
  <c r="K10" i="19"/>
  <c r="L10" i="19" s="1"/>
  <c r="H14" i="20" l="1"/>
  <c r="H9" i="20"/>
  <c r="Q25" i="20"/>
  <c r="Q24" i="20"/>
  <c r="Q23" i="20"/>
  <c r="Q31" i="20" s="1"/>
  <c r="Q34" i="20" s="1"/>
  <c r="Q37" i="20" s="1"/>
  <c r="Q22" i="20"/>
  <c r="Q21" i="20"/>
  <c r="Q20" i="20"/>
  <c r="H13" i="20"/>
  <c r="P13" i="20" s="1"/>
  <c r="O14" i="20"/>
  <c r="P14" i="20"/>
  <c r="H10" i="20"/>
  <c r="H16" i="20"/>
  <c r="H15" i="20"/>
  <c r="H12" i="20"/>
  <c r="H11" i="20"/>
  <c r="P9" i="20"/>
  <c r="O9" i="20"/>
  <c r="O13" i="20" l="1"/>
  <c r="O12" i="20"/>
  <c r="P12" i="20"/>
  <c r="P16" i="20"/>
  <c r="O16" i="20"/>
  <c r="P11" i="20"/>
  <c r="O11" i="20"/>
  <c r="P15" i="20"/>
  <c r="O15" i="20"/>
  <c r="O10" i="20"/>
  <c r="P10" i="20"/>
  <c r="Q29" i="20"/>
  <c r="O24" i="20" l="1"/>
  <c r="P25" i="20"/>
  <c r="P21" i="20"/>
  <c r="P23" i="20"/>
  <c r="P29" i="20" s="1"/>
  <c r="P31" i="20" s="1"/>
  <c r="P34" i="20" s="1"/>
  <c r="P37" i="20" s="1"/>
  <c r="O22" i="20"/>
  <c r="O21" i="20"/>
  <c r="P20" i="20"/>
  <c r="P22" i="20"/>
  <c r="P24" i="20"/>
  <c r="O20" i="20"/>
  <c r="O25" i="20"/>
  <c r="O23" i="20"/>
  <c r="O29" i="20" s="1"/>
  <c r="O31" i="20" s="1"/>
  <c r="O34" i="20" s="1"/>
  <c r="O37" i="20" s="1"/>
  <c r="E22" i="13" l="1"/>
  <c r="H6" i="17"/>
  <c r="H8" i="17" s="1"/>
  <c r="K23" i="13" s="1"/>
  <c r="E23" i="13" l="1"/>
  <c r="G16" i="13"/>
  <c r="F11" i="13"/>
  <c r="F12" i="13"/>
  <c r="F14" i="13"/>
  <c r="F10" i="13"/>
  <c r="C32" i="13" s="1"/>
  <c r="E11" i="13"/>
  <c r="E12" i="13"/>
  <c r="E14" i="13"/>
  <c r="E10" i="13"/>
  <c r="DN67" i="14"/>
  <c r="DL3" i="14"/>
  <c r="DL2" i="14"/>
  <c r="DR67" i="14"/>
  <c r="DR66" i="14"/>
  <c r="DN8" i="14"/>
  <c r="DR65" i="14"/>
  <c r="DN9" i="14"/>
  <c r="DR64" i="14"/>
  <c r="DN10" i="14"/>
  <c r="DR63" i="14"/>
  <c r="DN11" i="14"/>
  <c r="DR62" i="14"/>
  <c r="DN12" i="14"/>
  <c r="DR61" i="14"/>
  <c r="DN13" i="14"/>
  <c r="DR60" i="14"/>
  <c r="DN14" i="14"/>
  <c r="DR59" i="14"/>
  <c r="DN15" i="14"/>
  <c r="DR58" i="14"/>
  <c r="DN16" i="14"/>
  <c r="DR57" i="14"/>
  <c r="DN17" i="14"/>
  <c r="DR56" i="14"/>
  <c r="DN18" i="14"/>
  <c r="DR55" i="14"/>
  <c r="DN19" i="14"/>
  <c r="DR54" i="14"/>
  <c r="DN20" i="14"/>
  <c r="DR53" i="14"/>
  <c r="DN21" i="14"/>
  <c r="DR52" i="14"/>
  <c r="DN22" i="14"/>
  <c r="DR51" i="14"/>
  <c r="DN23" i="14"/>
  <c r="DR50" i="14"/>
  <c r="DN24" i="14"/>
  <c r="DR49" i="14"/>
  <c r="DN25" i="14"/>
  <c r="DR48" i="14"/>
  <c r="DN26" i="14"/>
  <c r="DR47" i="14"/>
  <c r="DN27" i="14"/>
  <c r="DR46" i="14"/>
  <c r="DN28" i="14"/>
  <c r="DR45" i="14"/>
  <c r="DN29" i="14"/>
  <c r="DR44" i="14"/>
  <c r="DN30" i="14"/>
  <c r="DR43" i="14"/>
  <c r="DN31" i="14"/>
  <c r="DR42" i="14"/>
  <c r="DN32" i="14"/>
  <c r="DR41" i="14"/>
  <c r="DN33" i="14"/>
  <c r="DR40" i="14"/>
  <c r="DN34" i="14"/>
  <c r="DR39" i="14"/>
  <c r="DN35" i="14"/>
  <c r="DR38" i="14"/>
  <c r="DN36" i="14"/>
  <c r="DR37" i="14"/>
  <c r="DN37" i="14"/>
  <c r="DR36" i="14"/>
  <c r="DN38" i="14"/>
  <c r="DR35" i="14"/>
  <c r="DN39" i="14"/>
  <c r="DR34" i="14"/>
  <c r="DN40" i="14"/>
  <c r="DR33" i="14"/>
  <c r="DN41" i="14"/>
  <c r="DR32" i="14"/>
  <c r="DN42" i="14"/>
  <c r="DR31" i="14"/>
  <c r="DN43" i="14"/>
  <c r="DR30" i="14"/>
  <c r="DN44" i="14"/>
  <c r="DR29" i="14"/>
  <c r="DN45" i="14"/>
  <c r="DR28" i="14"/>
  <c r="DN46" i="14"/>
  <c r="DR27" i="14"/>
  <c r="DN47" i="14"/>
  <c r="DR26" i="14"/>
  <c r="DN48" i="14"/>
  <c r="DR25" i="14"/>
  <c r="DN49" i="14"/>
  <c r="DR24" i="14"/>
  <c r="DN50" i="14"/>
  <c r="DR23" i="14"/>
  <c r="DN51" i="14"/>
  <c r="DR22" i="14"/>
  <c r="DN52" i="14"/>
  <c r="DR21" i="14"/>
  <c r="DN53" i="14"/>
  <c r="DR20" i="14"/>
  <c r="DN54" i="14"/>
  <c r="DR19" i="14"/>
  <c r="DN55" i="14"/>
  <c r="DR18" i="14"/>
  <c r="DN56" i="14"/>
  <c r="DR17" i="14"/>
  <c r="DN57" i="14"/>
  <c r="DR16" i="14"/>
  <c r="DN58" i="14"/>
  <c r="DR15" i="14"/>
  <c r="DN59" i="14"/>
  <c r="DR14" i="14"/>
  <c r="DN60" i="14"/>
  <c r="DR13" i="14"/>
  <c r="DN61" i="14"/>
  <c r="DR12" i="14"/>
  <c r="DN62" i="14"/>
  <c r="DR11" i="14"/>
  <c r="DN63" i="14"/>
  <c r="DR10" i="14"/>
  <c r="DN64" i="14"/>
  <c r="DR9" i="14"/>
  <c r="DN65" i="14"/>
  <c r="DR8" i="14"/>
  <c r="DN66" i="14"/>
  <c r="DY6" i="14"/>
  <c r="DV6" i="14" s="1"/>
  <c r="DV12" i="14" s="1"/>
  <c r="CQ67" i="14"/>
  <c r="BU67" i="14"/>
  <c r="AA67" i="14"/>
  <c r="CU67" i="14"/>
  <c r="CU66" i="14"/>
  <c r="CQ8" i="14"/>
  <c r="CU65" i="14"/>
  <c r="CQ9" i="14"/>
  <c r="CU64" i="14"/>
  <c r="CQ10" i="14"/>
  <c r="CU63" i="14"/>
  <c r="CQ11" i="14"/>
  <c r="CU62" i="14"/>
  <c r="CQ12" i="14"/>
  <c r="CU61" i="14"/>
  <c r="CQ13" i="14"/>
  <c r="CU60" i="14"/>
  <c r="CQ14" i="14"/>
  <c r="CU59" i="14"/>
  <c r="CQ15" i="14"/>
  <c r="CU58" i="14"/>
  <c r="CQ16" i="14"/>
  <c r="CU57" i="14"/>
  <c r="CQ17" i="14"/>
  <c r="CU56" i="14"/>
  <c r="CQ18" i="14"/>
  <c r="CU55" i="14"/>
  <c r="CQ19" i="14"/>
  <c r="CU54" i="14"/>
  <c r="CQ20" i="14"/>
  <c r="CU53" i="14"/>
  <c r="CQ21" i="14"/>
  <c r="CU52" i="14"/>
  <c r="CQ22" i="14"/>
  <c r="CU51" i="14"/>
  <c r="CQ23" i="14"/>
  <c r="CU50" i="14"/>
  <c r="CQ24" i="14"/>
  <c r="CU49" i="14"/>
  <c r="CQ25" i="14"/>
  <c r="CU48" i="14"/>
  <c r="CQ26" i="14"/>
  <c r="CU47" i="14"/>
  <c r="CQ27" i="14"/>
  <c r="CU46" i="14"/>
  <c r="CQ28" i="14"/>
  <c r="CU45" i="14"/>
  <c r="CQ29" i="14"/>
  <c r="CU44" i="14"/>
  <c r="CQ30" i="14"/>
  <c r="CU43" i="14"/>
  <c r="CQ31" i="14"/>
  <c r="CU42" i="14"/>
  <c r="CQ32" i="14"/>
  <c r="CU41" i="14"/>
  <c r="CQ33" i="14"/>
  <c r="CU40" i="14"/>
  <c r="CQ34" i="14"/>
  <c r="CU39" i="14"/>
  <c r="CQ35" i="14"/>
  <c r="CU38" i="14"/>
  <c r="CQ36" i="14"/>
  <c r="CU37" i="14"/>
  <c r="CQ37" i="14"/>
  <c r="CU36" i="14"/>
  <c r="CQ38" i="14"/>
  <c r="CU35" i="14"/>
  <c r="CQ39" i="14"/>
  <c r="CU34" i="14"/>
  <c r="CQ40" i="14"/>
  <c r="CU33" i="14"/>
  <c r="CQ41" i="14"/>
  <c r="CU32" i="14"/>
  <c r="CQ42" i="14"/>
  <c r="CU31" i="14"/>
  <c r="CQ43" i="14"/>
  <c r="CU30" i="14"/>
  <c r="CQ44" i="14"/>
  <c r="CU29" i="14"/>
  <c r="CQ45" i="14"/>
  <c r="CU28" i="14"/>
  <c r="CQ46" i="14"/>
  <c r="CU27" i="14"/>
  <c r="CQ47" i="14"/>
  <c r="CU26" i="14"/>
  <c r="CQ48" i="14"/>
  <c r="CU25" i="14"/>
  <c r="CQ49" i="14"/>
  <c r="CU24" i="14"/>
  <c r="CQ50" i="14"/>
  <c r="CU23" i="14"/>
  <c r="CQ51" i="14"/>
  <c r="CU22" i="14"/>
  <c r="CQ52" i="14"/>
  <c r="CU21" i="14"/>
  <c r="CQ53" i="14"/>
  <c r="CU20" i="14"/>
  <c r="CQ54" i="14"/>
  <c r="CU19" i="14"/>
  <c r="CQ55" i="14"/>
  <c r="CU18" i="14"/>
  <c r="CQ56" i="14"/>
  <c r="CU17" i="14"/>
  <c r="CQ57" i="14"/>
  <c r="CU16" i="14"/>
  <c r="CQ58" i="14"/>
  <c r="CU15" i="14"/>
  <c r="CQ59" i="14"/>
  <c r="CU14" i="14"/>
  <c r="CQ60" i="14"/>
  <c r="CU13" i="14"/>
  <c r="CQ61" i="14"/>
  <c r="CU12" i="14"/>
  <c r="CQ62" i="14"/>
  <c r="CU11" i="14"/>
  <c r="CQ63" i="14"/>
  <c r="CU10" i="14"/>
  <c r="CQ64" i="14"/>
  <c r="CU9" i="14"/>
  <c r="CQ65" i="14"/>
  <c r="CU8" i="14"/>
  <c r="CQ66" i="14"/>
  <c r="DB6" i="14"/>
  <c r="CY6" i="14" s="1"/>
  <c r="CY12" i="14" s="1"/>
  <c r="CF6" i="14"/>
  <c r="J13" i="13" s="1"/>
  <c r="K13" i="13" s="1"/>
  <c r="BS3" i="14"/>
  <c r="BS2" i="14"/>
  <c r="BY67" i="14"/>
  <c r="BY66" i="14"/>
  <c r="BU66" i="14"/>
  <c r="BY65" i="14"/>
  <c r="BU65" i="14"/>
  <c r="BY64" i="14"/>
  <c r="BU64" i="14"/>
  <c r="BY63" i="14"/>
  <c r="BU63" i="14"/>
  <c r="BY62" i="14"/>
  <c r="BU62" i="14"/>
  <c r="BY61" i="14"/>
  <c r="BU61" i="14"/>
  <c r="BY60" i="14"/>
  <c r="BU60" i="14"/>
  <c r="BY59" i="14"/>
  <c r="BU59" i="14"/>
  <c r="BY58" i="14"/>
  <c r="BU58" i="14"/>
  <c r="BY57" i="14"/>
  <c r="BU57" i="14"/>
  <c r="BY56" i="14"/>
  <c r="BU56" i="14"/>
  <c r="BY55" i="14"/>
  <c r="BU55" i="14"/>
  <c r="BY54" i="14"/>
  <c r="BU54" i="14"/>
  <c r="BY53" i="14"/>
  <c r="BU53" i="14"/>
  <c r="BY52" i="14"/>
  <c r="BU52" i="14"/>
  <c r="BY51" i="14"/>
  <c r="BU51" i="14"/>
  <c r="BY50" i="14"/>
  <c r="BU50" i="14"/>
  <c r="BY49" i="14"/>
  <c r="BU49" i="14"/>
  <c r="BY48" i="14"/>
  <c r="BU48" i="14"/>
  <c r="BY47" i="14"/>
  <c r="BU47" i="14"/>
  <c r="BY46" i="14"/>
  <c r="BU46" i="14"/>
  <c r="BY45" i="14"/>
  <c r="BU45" i="14"/>
  <c r="BY44" i="14"/>
  <c r="BU44" i="14"/>
  <c r="BY43" i="14"/>
  <c r="BU43" i="14"/>
  <c r="BY42" i="14"/>
  <c r="BU42" i="14"/>
  <c r="BY41" i="14"/>
  <c r="BU41" i="14"/>
  <c r="BY40" i="14"/>
  <c r="BU40" i="14"/>
  <c r="BY39" i="14"/>
  <c r="BU39" i="14"/>
  <c r="BY38" i="14"/>
  <c r="BU38" i="14"/>
  <c r="BY37" i="14"/>
  <c r="BU37" i="14"/>
  <c r="BY36" i="14"/>
  <c r="BU36" i="14"/>
  <c r="BY35" i="14"/>
  <c r="BU35" i="14"/>
  <c r="BY34" i="14"/>
  <c r="BU34" i="14"/>
  <c r="BY33" i="14"/>
  <c r="BU33" i="14"/>
  <c r="BY32" i="14"/>
  <c r="BU32" i="14"/>
  <c r="BY31" i="14"/>
  <c r="BU31" i="14"/>
  <c r="BY30" i="14"/>
  <c r="BU30" i="14"/>
  <c r="BY29" i="14"/>
  <c r="BU29" i="14"/>
  <c r="BY28" i="14"/>
  <c r="BU28" i="14"/>
  <c r="BY27" i="14"/>
  <c r="BU27" i="14"/>
  <c r="BY26" i="14"/>
  <c r="BU26" i="14"/>
  <c r="BY25" i="14"/>
  <c r="BU25" i="14"/>
  <c r="BY24" i="14"/>
  <c r="BU24" i="14"/>
  <c r="BY23" i="14"/>
  <c r="BU23" i="14"/>
  <c r="BY22" i="14"/>
  <c r="BU22" i="14"/>
  <c r="BY21" i="14"/>
  <c r="BU21" i="14"/>
  <c r="BY20" i="14"/>
  <c r="BU20" i="14"/>
  <c r="BY19" i="14"/>
  <c r="BU19" i="14"/>
  <c r="BY18" i="14"/>
  <c r="BU18" i="14"/>
  <c r="BY17" i="14"/>
  <c r="BU17" i="14"/>
  <c r="BY16" i="14"/>
  <c r="BU16" i="14"/>
  <c r="BY15" i="14"/>
  <c r="BU15" i="14"/>
  <c r="BY14" i="14"/>
  <c r="BU14" i="14"/>
  <c r="BY13" i="14"/>
  <c r="BU13" i="14"/>
  <c r="BY12" i="14"/>
  <c r="BU12" i="14"/>
  <c r="BY11" i="14"/>
  <c r="BU11" i="14"/>
  <c r="BY10" i="14"/>
  <c r="BU10" i="14"/>
  <c r="BY9" i="14"/>
  <c r="BU9" i="14"/>
  <c r="BY8" i="14"/>
  <c r="BU8" i="14"/>
  <c r="CC6" i="14"/>
  <c r="CC12" i="14" s="1"/>
  <c r="BI6" i="14"/>
  <c r="J12" i="13" s="1"/>
  <c r="AX64" i="14"/>
  <c r="AX65" i="14"/>
  <c r="AX66" i="14"/>
  <c r="AX67" i="14"/>
  <c r="AV3" i="14"/>
  <c r="AV2" i="14"/>
  <c r="BB67" i="14"/>
  <c r="BB66" i="14"/>
  <c r="AX8" i="14"/>
  <c r="BB65" i="14"/>
  <c r="AX9" i="14"/>
  <c r="BB64" i="14"/>
  <c r="AX10" i="14"/>
  <c r="BB63" i="14"/>
  <c r="AX11" i="14"/>
  <c r="BB62" i="14"/>
  <c r="AX12" i="14"/>
  <c r="BB61" i="14"/>
  <c r="AX13" i="14"/>
  <c r="BB60" i="14"/>
  <c r="AX14" i="14"/>
  <c r="BB59" i="14"/>
  <c r="AX15" i="14"/>
  <c r="BB58" i="14"/>
  <c r="AX16" i="14"/>
  <c r="BB57" i="14"/>
  <c r="AX17" i="14"/>
  <c r="BB56" i="14"/>
  <c r="AX18" i="14"/>
  <c r="BB55" i="14"/>
  <c r="AX19" i="14"/>
  <c r="BB54" i="14"/>
  <c r="AX20" i="14"/>
  <c r="BB53" i="14"/>
  <c r="AX21" i="14"/>
  <c r="BB52" i="14"/>
  <c r="AX22" i="14"/>
  <c r="BB51" i="14"/>
  <c r="AX23" i="14"/>
  <c r="BB50" i="14"/>
  <c r="AX24" i="14"/>
  <c r="BB49" i="14"/>
  <c r="AX25" i="14"/>
  <c r="BB48" i="14"/>
  <c r="AX26" i="14"/>
  <c r="BB47" i="14"/>
  <c r="AX27" i="14"/>
  <c r="BB46" i="14"/>
  <c r="AX28" i="14"/>
  <c r="BB45" i="14"/>
  <c r="AX29" i="14"/>
  <c r="BB44" i="14"/>
  <c r="AX30" i="14"/>
  <c r="BB43" i="14"/>
  <c r="AX31" i="14"/>
  <c r="BB42" i="14"/>
  <c r="AX32" i="14"/>
  <c r="BB41" i="14"/>
  <c r="AX33" i="14"/>
  <c r="BB40" i="14"/>
  <c r="AX34" i="14"/>
  <c r="BB39" i="14"/>
  <c r="AX35" i="14"/>
  <c r="BB38" i="14"/>
  <c r="AX36" i="14"/>
  <c r="BB37" i="14"/>
  <c r="AX37" i="14"/>
  <c r="BB36" i="14"/>
  <c r="AX38" i="14"/>
  <c r="BB35" i="14"/>
  <c r="AX39" i="14"/>
  <c r="BB34" i="14"/>
  <c r="AX40" i="14"/>
  <c r="BB33" i="14"/>
  <c r="AX41" i="14"/>
  <c r="BB32" i="14"/>
  <c r="AX42" i="14"/>
  <c r="BB31" i="14"/>
  <c r="AX43" i="14"/>
  <c r="BB30" i="14"/>
  <c r="AX44" i="14"/>
  <c r="BB29" i="14"/>
  <c r="AX45" i="14"/>
  <c r="BB28" i="14"/>
  <c r="AX46" i="14"/>
  <c r="BB27" i="14"/>
  <c r="AX47" i="14"/>
  <c r="BB26" i="14"/>
  <c r="AX48" i="14"/>
  <c r="BB25" i="14"/>
  <c r="AX49" i="14"/>
  <c r="BB24" i="14"/>
  <c r="AX50" i="14"/>
  <c r="BB23" i="14"/>
  <c r="AX51" i="14"/>
  <c r="BB22" i="14"/>
  <c r="AX52" i="14"/>
  <c r="BB21" i="14"/>
  <c r="AX53" i="14"/>
  <c r="BB20" i="14"/>
  <c r="AX54" i="14"/>
  <c r="BB19" i="14"/>
  <c r="AX55" i="14"/>
  <c r="BB18" i="14"/>
  <c r="AX56" i="14"/>
  <c r="BB17" i="14"/>
  <c r="AX57" i="14"/>
  <c r="BB16" i="14"/>
  <c r="AX58" i="14"/>
  <c r="BB15" i="14"/>
  <c r="AX59" i="14"/>
  <c r="BB14" i="14"/>
  <c r="AX60" i="14"/>
  <c r="BB13" i="14"/>
  <c r="AX61" i="14"/>
  <c r="BB12" i="14"/>
  <c r="AX62" i="14"/>
  <c r="BB11" i="14"/>
  <c r="AX63" i="14"/>
  <c r="BB10" i="14"/>
  <c r="BB9" i="14"/>
  <c r="BB8" i="14"/>
  <c r="BF6" i="14"/>
  <c r="BF12" i="14" s="1"/>
  <c r="Y2" i="14"/>
  <c r="Y3" i="14"/>
  <c r="AE67" i="14"/>
  <c r="AE66" i="14"/>
  <c r="AA66" i="14"/>
  <c r="AE65" i="14"/>
  <c r="AA65" i="14"/>
  <c r="AE64" i="14"/>
  <c r="AA64" i="14"/>
  <c r="AE63" i="14"/>
  <c r="AA63" i="14"/>
  <c r="AE62" i="14"/>
  <c r="AA62" i="14"/>
  <c r="AE61" i="14"/>
  <c r="AA61" i="14"/>
  <c r="AE60" i="14"/>
  <c r="AA60" i="14"/>
  <c r="AE59" i="14"/>
  <c r="AA59" i="14"/>
  <c r="AE58" i="14"/>
  <c r="AA58" i="14"/>
  <c r="AE57" i="14"/>
  <c r="AA57" i="14"/>
  <c r="AE56" i="14"/>
  <c r="AA56" i="14"/>
  <c r="AE55" i="14"/>
  <c r="AA55" i="14"/>
  <c r="AE54" i="14"/>
  <c r="AA54" i="14"/>
  <c r="AE53" i="14"/>
  <c r="AA53" i="14"/>
  <c r="AE52" i="14"/>
  <c r="AA52" i="14"/>
  <c r="AE51" i="14"/>
  <c r="AA51" i="14"/>
  <c r="AE50" i="14"/>
  <c r="AA50" i="14"/>
  <c r="AE49" i="14"/>
  <c r="AA49" i="14"/>
  <c r="AE48" i="14"/>
  <c r="AA48" i="14"/>
  <c r="AE47" i="14"/>
  <c r="AA47" i="14"/>
  <c r="AE46" i="14"/>
  <c r="AA46" i="14"/>
  <c r="AE45" i="14"/>
  <c r="AA45" i="14"/>
  <c r="AE44" i="14"/>
  <c r="AA44" i="14"/>
  <c r="AE43" i="14"/>
  <c r="AA43" i="14"/>
  <c r="AE42" i="14"/>
  <c r="AA42" i="14"/>
  <c r="AE41" i="14"/>
  <c r="AA41" i="14"/>
  <c r="AE40" i="14"/>
  <c r="AA40" i="14"/>
  <c r="AE39" i="14"/>
  <c r="AA39" i="14"/>
  <c r="AE38" i="14"/>
  <c r="AA38" i="14"/>
  <c r="AE37" i="14"/>
  <c r="AA37" i="14"/>
  <c r="AE36" i="14"/>
  <c r="AA36" i="14"/>
  <c r="AE35" i="14"/>
  <c r="AA35" i="14"/>
  <c r="AE34" i="14"/>
  <c r="AA34" i="14"/>
  <c r="AE33" i="14"/>
  <c r="AA33" i="14"/>
  <c r="AE32" i="14"/>
  <c r="AA32" i="14"/>
  <c r="AE31" i="14"/>
  <c r="AA31" i="14"/>
  <c r="AE30" i="14"/>
  <c r="AA30" i="14"/>
  <c r="AE29" i="14"/>
  <c r="AA29" i="14"/>
  <c r="AE28" i="14"/>
  <c r="AA28" i="14"/>
  <c r="AE27" i="14"/>
  <c r="AA27" i="14"/>
  <c r="AE26" i="14"/>
  <c r="AA26" i="14"/>
  <c r="AE25" i="14"/>
  <c r="AA25" i="14"/>
  <c r="AE24" i="14"/>
  <c r="AA24" i="14"/>
  <c r="AE23" i="14"/>
  <c r="AA23" i="14"/>
  <c r="AE22" i="14"/>
  <c r="AA22" i="14"/>
  <c r="AE21" i="14"/>
  <c r="AA21" i="14"/>
  <c r="AE20" i="14"/>
  <c r="AA20" i="14"/>
  <c r="AE19" i="14"/>
  <c r="AA19" i="14"/>
  <c r="AE18" i="14"/>
  <c r="AA18" i="14"/>
  <c r="AE17" i="14"/>
  <c r="AA17" i="14"/>
  <c r="AE16" i="14"/>
  <c r="AA16" i="14"/>
  <c r="AE15" i="14"/>
  <c r="AA15" i="14"/>
  <c r="AE14" i="14"/>
  <c r="AA14" i="14"/>
  <c r="AE13" i="14"/>
  <c r="AA13" i="14"/>
  <c r="AE12" i="14"/>
  <c r="AA12" i="14"/>
  <c r="AE11" i="14"/>
  <c r="AA11" i="14"/>
  <c r="AE10" i="14"/>
  <c r="AA10" i="14"/>
  <c r="AE9" i="14"/>
  <c r="AA9" i="14"/>
  <c r="AE8" i="14"/>
  <c r="AA8" i="14"/>
  <c r="AL6" i="14"/>
  <c r="AI6" i="14" s="1"/>
  <c r="AI12" i="14" s="1"/>
  <c r="B2" i="14"/>
  <c r="O6" i="14"/>
  <c r="J10" i="13" s="1"/>
  <c r="H67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D67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H8" i="14"/>
  <c r="D8" i="14"/>
  <c r="B3" i="14"/>
  <c r="L6" i="14"/>
  <c r="L12" i="14" s="1"/>
  <c r="J11" i="13" l="1"/>
  <c r="J14" i="13"/>
  <c r="H10" i="13"/>
  <c r="J17" i="13"/>
  <c r="I10" i="13"/>
  <c r="J16" i="13"/>
  <c r="K10" i="13"/>
  <c r="C31" i="13"/>
  <c r="B2" i="13"/>
  <c r="C33" i="13"/>
  <c r="D33" i="13" s="1"/>
  <c r="E33" i="13" s="1"/>
  <c r="K32" i="13"/>
  <c r="D32" i="13"/>
  <c r="E24" i="13"/>
  <c r="K40" i="13" s="1"/>
  <c r="I14" i="13"/>
  <c r="H14" i="13"/>
  <c r="K14" i="13" s="1"/>
  <c r="I12" i="13"/>
  <c r="H12" i="13"/>
  <c r="K12" i="13" s="1"/>
  <c r="I11" i="13"/>
  <c r="H11" i="13"/>
  <c r="K11" i="13" s="1"/>
  <c r="I16" i="13" l="1"/>
  <c r="D31" i="13"/>
  <c r="D35" i="13" s="1"/>
  <c r="I17" i="13"/>
  <c r="H16" i="13"/>
  <c r="K16" i="13"/>
  <c r="K17" i="13"/>
  <c r="H17" i="13"/>
  <c r="E31" i="13" s="1"/>
  <c r="K41" i="13" s="1"/>
  <c r="E32" i="13" l="1"/>
  <c r="K38" i="13" s="1"/>
  <c r="K30" i="13"/>
  <c r="E35" i="13" l="1"/>
  <c r="K31" i="13" s="1"/>
  <c r="K33" i="13" s="1"/>
  <c r="K24" i="13" s="1"/>
  <c r="K25" i="13" s="1"/>
  <c r="K37" i="13" s="1"/>
  <c r="K43" i="13" s="1"/>
  <c r="G17" i="19" s="1"/>
  <c r="H11" i="19" l="1"/>
  <c r="J11" i="19"/>
  <c r="I11" i="19"/>
  <c r="L11" i="19"/>
  <c r="K11" i="19"/>
  <c r="C6" i="10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B2" i="10"/>
  <c r="D4" i="11" a="1"/>
  <c r="D4" i="11" s="1"/>
  <c r="M5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L2" i="11"/>
  <c r="G2" i="11"/>
  <c r="B2" i="11"/>
  <c r="B6" i="11"/>
  <c r="B7" i="11" s="1"/>
  <c r="B8" i="11" s="1"/>
  <c r="B9" i="11" s="1"/>
  <c r="B10" i="11" s="1"/>
  <c r="B11" i="11" s="1"/>
  <c r="B12" i="11" s="1"/>
  <c r="B13" i="11" s="1"/>
  <c r="B14" i="11" s="1"/>
  <c r="L5" i="11"/>
  <c r="L6" i="11" s="1"/>
  <c r="L7" i="11" s="1"/>
  <c r="L8" i="11" s="1"/>
  <c r="L9" i="11" s="1"/>
  <c r="L10" i="11" s="1"/>
  <c r="L11" i="11" s="1"/>
  <c r="L12" i="11" s="1"/>
  <c r="L13" i="11" s="1"/>
  <c r="G5" i="11"/>
  <c r="G6" i="11" s="1"/>
  <c r="G7" i="11" s="1"/>
  <c r="G8" i="11" s="1"/>
  <c r="G9" i="11" s="1"/>
  <c r="G10" i="11" s="1"/>
  <c r="G11" i="11" s="1"/>
  <c r="G12" i="11" s="1"/>
  <c r="G13" i="11" s="1"/>
  <c r="B5" i="11"/>
  <c r="E14" i="10"/>
  <c r="E13" i="10"/>
  <c r="E12" i="10"/>
  <c r="E11" i="10"/>
  <c r="E10" i="10"/>
  <c r="E9" i="10"/>
  <c r="E8" i="10"/>
  <c r="E7" i="10"/>
  <c r="E6" i="10"/>
  <c r="B6" i="10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D17" i="10" s="1"/>
  <c r="I42" i="6"/>
  <c r="J42" i="6"/>
  <c r="K42" i="6"/>
  <c r="L42" i="6"/>
  <c r="H42" i="6"/>
  <c r="L32" i="6"/>
  <c r="I32" i="6"/>
  <c r="J32" i="6"/>
  <c r="K32" i="6"/>
  <c r="H32" i="6"/>
  <c r="B32" i="6"/>
  <c r="B31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I29" i="6"/>
  <c r="J29" i="6"/>
  <c r="K29" i="6"/>
  <c r="L29" i="6"/>
  <c r="H22" i="6"/>
  <c r="H23" i="6"/>
  <c r="H24" i="6"/>
  <c r="H25" i="6"/>
  <c r="H26" i="6"/>
  <c r="H27" i="6"/>
  <c r="H28" i="6"/>
  <c r="H29" i="6"/>
  <c r="H21" i="6"/>
  <c r="B22" i="6"/>
  <c r="B23" i="6"/>
  <c r="B24" i="6"/>
  <c r="B25" i="6"/>
  <c r="B26" i="6"/>
  <c r="B27" i="6"/>
  <c r="B28" i="6"/>
  <c r="B29" i="6"/>
  <c r="B21" i="6"/>
  <c r="I13" i="6"/>
  <c r="J13" i="6"/>
  <c r="K13" i="6"/>
  <c r="L13" i="6"/>
  <c r="I14" i="6"/>
  <c r="J14" i="6"/>
  <c r="K14" i="6"/>
  <c r="L14" i="6"/>
  <c r="I15" i="6"/>
  <c r="J15" i="6"/>
  <c r="K15" i="6"/>
  <c r="L15" i="6"/>
  <c r="H14" i="6"/>
  <c r="H15" i="6"/>
  <c r="H13" i="6"/>
  <c r="B14" i="6"/>
  <c r="B15" i="6"/>
  <c r="B13" i="6"/>
  <c r="L8" i="6"/>
  <c r="L9" i="6"/>
  <c r="I8" i="6"/>
  <c r="J8" i="6"/>
  <c r="K8" i="6"/>
  <c r="I9" i="6"/>
  <c r="J9" i="6"/>
  <c r="K9" i="6"/>
  <c r="H9" i="6"/>
  <c r="H8" i="6"/>
  <c r="I7" i="6"/>
  <c r="J7" i="6"/>
  <c r="K7" i="6"/>
  <c r="L7" i="6"/>
  <c r="H7" i="6"/>
  <c r="I6" i="6"/>
  <c r="J6" i="6"/>
  <c r="K6" i="6"/>
  <c r="L6" i="6"/>
  <c r="H6" i="6"/>
  <c r="B9" i="6"/>
  <c r="B8" i="6"/>
  <c r="B7" i="6"/>
  <c r="B6" i="6"/>
  <c r="B2" i="6"/>
  <c r="B2" i="5"/>
  <c r="I3" i="6"/>
  <c r="J3" i="6"/>
  <c r="K3" i="6"/>
  <c r="L3" i="6"/>
  <c r="H3" i="6"/>
  <c r="H40" i="6" s="1"/>
  <c r="H56" i="6" s="1"/>
  <c r="L40" i="6"/>
  <c r="L56" i="6" s="1"/>
  <c r="K40" i="6"/>
  <c r="K56" i="6" s="1"/>
  <c r="J40" i="6"/>
  <c r="J56" i="6" s="1"/>
  <c r="I40" i="6"/>
  <c r="I56" i="6" s="1"/>
  <c r="M12" i="8"/>
  <c r="N12" i="8"/>
  <c r="H12" i="8"/>
  <c r="I12" i="8"/>
  <c r="J12" i="8"/>
  <c r="K12" i="8"/>
  <c r="L12" i="8"/>
  <c r="F12" i="8"/>
  <c r="G12" i="8"/>
  <c r="D12" i="8"/>
  <c r="E12" i="8"/>
  <c r="C12" i="8"/>
  <c r="L3" i="5"/>
  <c r="D3" i="5"/>
  <c r="E3" i="5"/>
  <c r="F3" i="5"/>
  <c r="G3" i="5"/>
  <c r="H3" i="5"/>
  <c r="I3" i="5"/>
  <c r="J3" i="5"/>
  <c r="K3" i="5"/>
  <c r="C3" i="5"/>
  <c r="D39" i="4"/>
  <c r="F39" i="4"/>
  <c r="H39" i="4"/>
  <c r="J39" i="4"/>
  <c r="L39" i="4"/>
  <c r="K74" i="1"/>
  <c r="L37" i="4" s="1"/>
  <c r="J74" i="1"/>
  <c r="I74" i="1"/>
  <c r="J37" i="4" s="1"/>
  <c r="H74" i="1"/>
  <c r="G74" i="1"/>
  <c r="H37" i="4" s="1"/>
  <c r="F74" i="1"/>
  <c r="E74" i="1"/>
  <c r="F37" i="4" s="1"/>
  <c r="D74" i="1"/>
  <c r="C74" i="1"/>
  <c r="D37" i="4" s="1"/>
  <c r="B74" i="1"/>
  <c r="D35" i="4"/>
  <c r="F35" i="4"/>
  <c r="H35" i="4"/>
  <c r="J35" i="4"/>
  <c r="L35" i="4"/>
  <c r="C75" i="1"/>
  <c r="D38" i="4" s="1"/>
  <c r="D75" i="1"/>
  <c r="E75" i="1"/>
  <c r="F38" i="4" s="1"/>
  <c r="F75" i="1"/>
  <c r="G75" i="1"/>
  <c r="H38" i="4" s="1"/>
  <c r="H75" i="1"/>
  <c r="I75" i="1"/>
  <c r="J38" i="4" s="1"/>
  <c r="J75" i="1"/>
  <c r="K75" i="1"/>
  <c r="L38" i="4" s="1"/>
  <c r="B75" i="1"/>
  <c r="C29" i="4"/>
  <c r="D29" i="4"/>
  <c r="E29" i="4"/>
  <c r="F29" i="4"/>
  <c r="G29" i="4"/>
  <c r="H29" i="4"/>
  <c r="I29" i="4"/>
  <c r="J29" i="4"/>
  <c r="K29" i="4"/>
  <c r="L29" i="4"/>
  <c r="C30" i="4"/>
  <c r="D30" i="4"/>
  <c r="E30" i="4"/>
  <c r="F30" i="4"/>
  <c r="G30" i="4"/>
  <c r="H30" i="4"/>
  <c r="I30" i="4"/>
  <c r="J30" i="4"/>
  <c r="K30" i="4"/>
  <c r="L30" i="4"/>
  <c r="C31" i="4"/>
  <c r="D31" i="4"/>
  <c r="E31" i="4"/>
  <c r="F31" i="4"/>
  <c r="G31" i="4"/>
  <c r="H31" i="4"/>
  <c r="I31" i="4"/>
  <c r="J31" i="4"/>
  <c r="K31" i="4"/>
  <c r="L31" i="4"/>
  <c r="D28" i="4"/>
  <c r="E28" i="4"/>
  <c r="F28" i="4"/>
  <c r="G28" i="4"/>
  <c r="H28" i="4"/>
  <c r="I28" i="4"/>
  <c r="J28" i="4"/>
  <c r="K28" i="4"/>
  <c r="L28" i="4"/>
  <c r="C28" i="4"/>
  <c r="D27" i="4"/>
  <c r="E27" i="4"/>
  <c r="F27" i="4"/>
  <c r="G27" i="4"/>
  <c r="H27" i="4"/>
  <c r="I27" i="4"/>
  <c r="J27" i="4"/>
  <c r="K27" i="4"/>
  <c r="L27" i="4"/>
  <c r="C27" i="4"/>
  <c r="B39" i="4"/>
  <c r="B40" i="4"/>
  <c r="B38" i="4"/>
  <c r="B35" i="4"/>
  <c r="B36" i="4"/>
  <c r="B37" i="4"/>
  <c r="B34" i="4"/>
  <c r="B29" i="4"/>
  <c r="B30" i="4"/>
  <c r="B31" i="4"/>
  <c r="B28" i="4"/>
  <c r="D25" i="4"/>
  <c r="E25" i="4"/>
  <c r="F25" i="4"/>
  <c r="G25" i="4"/>
  <c r="H25" i="4"/>
  <c r="I25" i="4"/>
  <c r="J25" i="4"/>
  <c r="K25" i="4"/>
  <c r="L25" i="4"/>
  <c r="C25" i="4"/>
  <c r="B21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C15" i="4"/>
  <c r="D15" i="4"/>
  <c r="E15" i="4"/>
  <c r="F15" i="4"/>
  <c r="G15" i="4"/>
  <c r="H15" i="4"/>
  <c r="I15" i="4"/>
  <c r="J15" i="4"/>
  <c r="K15" i="4"/>
  <c r="L15" i="4"/>
  <c r="C16" i="4"/>
  <c r="D16" i="4"/>
  <c r="E16" i="4"/>
  <c r="F16" i="4"/>
  <c r="G16" i="4"/>
  <c r="H16" i="4"/>
  <c r="I16" i="4"/>
  <c r="J16" i="4"/>
  <c r="K16" i="4"/>
  <c r="L16" i="4"/>
  <c r="C17" i="4"/>
  <c r="D17" i="4"/>
  <c r="E17" i="4"/>
  <c r="F17" i="4"/>
  <c r="G17" i="4"/>
  <c r="H17" i="4"/>
  <c r="I17" i="4"/>
  <c r="J17" i="4"/>
  <c r="K17" i="4"/>
  <c r="L17" i="4"/>
  <c r="C18" i="4"/>
  <c r="D18" i="4"/>
  <c r="E18" i="4"/>
  <c r="F18" i="4"/>
  <c r="G18" i="4"/>
  <c r="H18" i="4"/>
  <c r="I18" i="4"/>
  <c r="J18" i="4"/>
  <c r="K18" i="4"/>
  <c r="L18" i="4"/>
  <c r="C19" i="4"/>
  <c r="D19" i="4"/>
  <c r="E19" i="4"/>
  <c r="F19" i="4"/>
  <c r="G19" i="4"/>
  <c r="H19" i="4"/>
  <c r="I19" i="4"/>
  <c r="J19" i="4"/>
  <c r="K19" i="4"/>
  <c r="L19" i="4"/>
  <c r="C20" i="4"/>
  <c r="D20" i="4"/>
  <c r="E20" i="4"/>
  <c r="F20" i="4"/>
  <c r="G20" i="4"/>
  <c r="H20" i="4"/>
  <c r="I20" i="4"/>
  <c r="J20" i="4"/>
  <c r="K20" i="4"/>
  <c r="L20" i="4"/>
  <c r="D6" i="4"/>
  <c r="E6" i="4"/>
  <c r="F6" i="4"/>
  <c r="G6" i="4"/>
  <c r="H6" i="4"/>
  <c r="I6" i="4"/>
  <c r="J6" i="4"/>
  <c r="K6" i="4"/>
  <c r="L6" i="4"/>
  <c r="C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6" i="4"/>
  <c r="D4" i="4"/>
  <c r="E4" i="4"/>
  <c r="F4" i="4"/>
  <c r="G4" i="4"/>
  <c r="H4" i="4"/>
  <c r="I4" i="4"/>
  <c r="J4" i="4"/>
  <c r="K4" i="4"/>
  <c r="L4" i="4"/>
  <c r="C4" i="4"/>
  <c r="B23" i="4"/>
  <c r="B2" i="4"/>
  <c r="L93" i="3"/>
  <c r="L94" i="3"/>
  <c r="L95" i="3"/>
  <c r="L96" i="3"/>
  <c r="L97" i="3"/>
  <c r="L98" i="3"/>
  <c r="L99" i="3"/>
  <c r="L100" i="3"/>
  <c r="L101" i="3"/>
  <c r="L102" i="3"/>
  <c r="L103" i="3"/>
  <c r="D93" i="3"/>
  <c r="E93" i="3"/>
  <c r="F93" i="3"/>
  <c r="G93" i="3"/>
  <c r="H93" i="3"/>
  <c r="I93" i="3"/>
  <c r="J93" i="3"/>
  <c r="K93" i="3"/>
  <c r="D94" i="3"/>
  <c r="E94" i="3"/>
  <c r="F94" i="3"/>
  <c r="G94" i="3"/>
  <c r="H94" i="3"/>
  <c r="I94" i="3"/>
  <c r="J94" i="3"/>
  <c r="K94" i="3"/>
  <c r="D95" i="3"/>
  <c r="E95" i="3"/>
  <c r="F95" i="3"/>
  <c r="G95" i="3"/>
  <c r="H95" i="3"/>
  <c r="I95" i="3"/>
  <c r="J95" i="3"/>
  <c r="K95" i="3"/>
  <c r="D96" i="3"/>
  <c r="E96" i="3"/>
  <c r="F96" i="3"/>
  <c r="G96" i="3"/>
  <c r="H96" i="3"/>
  <c r="I96" i="3"/>
  <c r="J96" i="3"/>
  <c r="K96" i="3"/>
  <c r="D97" i="3"/>
  <c r="E97" i="3"/>
  <c r="F97" i="3"/>
  <c r="G97" i="3"/>
  <c r="H97" i="3"/>
  <c r="I97" i="3"/>
  <c r="J97" i="3"/>
  <c r="K97" i="3"/>
  <c r="D98" i="3"/>
  <c r="E98" i="3"/>
  <c r="F98" i="3"/>
  <c r="G98" i="3"/>
  <c r="H98" i="3"/>
  <c r="I98" i="3"/>
  <c r="J98" i="3"/>
  <c r="K98" i="3"/>
  <c r="D99" i="3"/>
  <c r="E99" i="3"/>
  <c r="F99" i="3"/>
  <c r="G99" i="3"/>
  <c r="H99" i="3"/>
  <c r="I99" i="3"/>
  <c r="J99" i="3"/>
  <c r="K99" i="3"/>
  <c r="D100" i="3"/>
  <c r="E100" i="3"/>
  <c r="F100" i="3"/>
  <c r="G100" i="3"/>
  <c r="H100" i="3"/>
  <c r="I100" i="3"/>
  <c r="J100" i="3"/>
  <c r="K100" i="3"/>
  <c r="D101" i="3"/>
  <c r="E101" i="3"/>
  <c r="F101" i="3"/>
  <c r="G101" i="3"/>
  <c r="H101" i="3"/>
  <c r="I101" i="3"/>
  <c r="J101" i="3"/>
  <c r="K101" i="3"/>
  <c r="D102" i="3"/>
  <c r="E102" i="3"/>
  <c r="F102" i="3"/>
  <c r="G102" i="3"/>
  <c r="H102" i="3"/>
  <c r="I102" i="3"/>
  <c r="J102" i="3"/>
  <c r="K102" i="3"/>
  <c r="D103" i="3"/>
  <c r="E103" i="3"/>
  <c r="F103" i="3"/>
  <c r="G103" i="3"/>
  <c r="H103" i="3"/>
  <c r="I103" i="3"/>
  <c r="J103" i="3"/>
  <c r="K103" i="3"/>
  <c r="C94" i="3"/>
  <c r="C95" i="3"/>
  <c r="C96" i="3"/>
  <c r="C97" i="3"/>
  <c r="C98" i="3"/>
  <c r="C99" i="3"/>
  <c r="C100" i="3"/>
  <c r="C101" i="3"/>
  <c r="C102" i="3"/>
  <c r="C103" i="3"/>
  <c r="C93" i="3"/>
  <c r="L81" i="3"/>
  <c r="L82" i="3"/>
  <c r="L83" i="3"/>
  <c r="L84" i="3"/>
  <c r="L85" i="3"/>
  <c r="L86" i="3"/>
  <c r="L87" i="3"/>
  <c r="L88" i="3"/>
  <c r="L89" i="3"/>
  <c r="D81" i="3"/>
  <c r="E81" i="3"/>
  <c r="F81" i="3"/>
  <c r="G81" i="3"/>
  <c r="H81" i="3"/>
  <c r="I81" i="3"/>
  <c r="J81" i="3"/>
  <c r="K81" i="3"/>
  <c r="D82" i="3"/>
  <c r="E82" i="3"/>
  <c r="F82" i="3"/>
  <c r="G82" i="3"/>
  <c r="H82" i="3"/>
  <c r="I82" i="3"/>
  <c r="J82" i="3"/>
  <c r="K82" i="3"/>
  <c r="D83" i="3"/>
  <c r="E83" i="3"/>
  <c r="F83" i="3"/>
  <c r="G83" i="3"/>
  <c r="H83" i="3"/>
  <c r="I83" i="3"/>
  <c r="J83" i="3"/>
  <c r="K83" i="3"/>
  <c r="D84" i="3"/>
  <c r="E84" i="3"/>
  <c r="F84" i="3"/>
  <c r="G84" i="3"/>
  <c r="H84" i="3"/>
  <c r="I84" i="3"/>
  <c r="J84" i="3"/>
  <c r="K84" i="3"/>
  <c r="D85" i="3"/>
  <c r="E85" i="3"/>
  <c r="F85" i="3"/>
  <c r="G85" i="3"/>
  <c r="H85" i="3"/>
  <c r="I85" i="3"/>
  <c r="J85" i="3"/>
  <c r="K85" i="3"/>
  <c r="D86" i="3"/>
  <c r="E86" i="3"/>
  <c r="F86" i="3"/>
  <c r="G86" i="3"/>
  <c r="H86" i="3"/>
  <c r="I86" i="3"/>
  <c r="J86" i="3"/>
  <c r="K86" i="3"/>
  <c r="D87" i="3"/>
  <c r="E87" i="3"/>
  <c r="F87" i="3"/>
  <c r="G87" i="3"/>
  <c r="H87" i="3"/>
  <c r="I87" i="3"/>
  <c r="J87" i="3"/>
  <c r="K87" i="3"/>
  <c r="D88" i="3"/>
  <c r="E88" i="3"/>
  <c r="F88" i="3"/>
  <c r="G88" i="3"/>
  <c r="H88" i="3"/>
  <c r="I88" i="3"/>
  <c r="J88" i="3"/>
  <c r="K88" i="3"/>
  <c r="D89" i="3"/>
  <c r="D90" i="3" s="1"/>
  <c r="D110" i="3" s="1"/>
  <c r="E89" i="3"/>
  <c r="F89" i="3"/>
  <c r="G89" i="3"/>
  <c r="H89" i="3"/>
  <c r="I89" i="3"/>
  <c r="J89" i="3"/>
  <c r="K89" i="3"/>
  <c r="C82" i="3"/>
  <c r="C83" i="3"/>
  <c r="C84" i="3"/>
  <c r="C85" i="3"/>
  <c r="C86" i="3"/>
  <c r="C87" i="3"/>
  <c r="C88" i="3"/>
  <c r="C89" i="3"/>
  <c r="C81" i="3"/>
  <c r="C71" i="3"/>
  <c r="D71" i="3"/>
  <c r="E71" i="3"/>
  <c r="F71" i="3"/>
  <c r="G71" i="3"/>
  <c r="H71" i="3"/>
  <c r="I71" i="3"/>
  <c r="J71" i="3"/>
  <c r="K71" i="3"/>
  <c r="L71" i="3"/>
  <c r="C72" i="3"/>
  <c r="D72" i="3"/>
  <c r="E72" i="3"/>
  <c r="F72" i="3"/>
  <c r="G72" i="3"/>
  <c r="H72" i="3"/>
  <c r="I72" i="3"/>
  <c r="J72" i="3"/>
  <c r="K72" i="3"/>
  <c r="L72" i="3"/>
  <c r="C73" i="3"/>
  <c r="D73" i="3"/>
  <c r="E73" i="3"/>
  <c r="F73" i="3"/>
  <c r="G73" i="3"/>
  <c r="H73" i="3"/>
  <c r="I73" i="3"/>
  <c r="J73" i="3"/>
  <c r="K73" i="3"/>
  <c r="L73" i="3"/>
  <c r="C74" i="3"/>
  <c r="D74" i="3"/>
  <c r="E74" i="3"/>
  <c r="F74" i="3"/>
  <c r="G74" i="3"/>
  <c r="H74" i="3"/>
  <c r="I74" i="3"/>
  <c r="J74" i="3"/>
  <c r="K74" i="3"/>
  <c r="L74" i="3"/>
  <c r="C75" i="3"/>
  <c r="D75" i="3"/>
  <c r="E75" i="3"/>
  <c r="F75" i="3"/>
  <c r="G75" i="3"/>
  <c r="H75" i="3"/>
  <c r="I75" i="3"/>
  <c r="J75" i="3"/>
  <c r="K75" i="3"/>
  <c r="L75" i="3"/>
  <c r="C76" i="3"/>
  <c r="D76" i="3"/>
  <c r="E76" i="3"/>
  <c r="F76" i="3"/>
  <c r="G76" i="3"/>
  <c r="H76" i="3"/>
  <c r="I76" i="3"/>
  <c r="J76" i="3"/>
  <c r="K76" i="3"/>
  <c r="L76" i="3"/>
  <c r="C77" i="3"/>
  <c r="D77" i="3"/>
  <c r="E77" i="3"/>
  <c r="F77" i="3"/>
  <c r="G77" i="3"/>
  <c r="H77" i="3"/>
  <c r="I77" i="3"/>
  <c r="J77" i="3"/>
  <c r="K77" i="3"/>
  <c r="L77" i="3"/>
  <c r="D70" i="3"/>
  <c r="E70" i="3"/>
  <c r="F70" i="3"/>
  <c r="G70" i="3"/>
  <c r="H70" i="3"/>
  <c r="I70" i="3"/>
  <c r="J70" i="3"/>
  <c r="K70" i="3"/>
  <c r="L70" i="3"/>
  <c r="C70" i="3"/>
  <c r="D56" i="3"/>
  <c r="E56" i="3"/>
  <c r="F56" i="3"/>
  <c r="G56" i="3"/>
  <c r="H56" i="3"/>
  <c r="I56" i="3"/>
  <c r="J56" i="3"/>
  <c r="K56" i="3"/>
  <c r="L56" i="3"/>
  <c r="C56" i="3"/>
  <c r="C60" i="3"/>
  <c r="D60" i="3"/>
  <c r="E60" i="3"/>
  <c r="F60" i="3"/>
  <c r="G60" i="3"/>
  <c r="H60" i="3"/>
  <c r="I60" i="3"/>
  <c r="J60" i="3"/>
  <c r="K60" i="3"/>
  <c r="L60" i="3"/>
  <c r="C61" i="3"/>
  <c r="D61" i="3"/>
  <c r="E61" i="3"/>
  <c r="F61" i="3"/>
  <c r="G61" i="3"/>
  <c r="H61" i="3"/>
  <c r="I61" i="3"/>
  <c r="J61" i="3"/>
  <c r="K61" i="3"/>
  <c r="L61" i="3"/>
  <c r="D59" i="3"/>
  <c r="E59" i="3"/>
  <c r="F59" i="3"/>
  <c r="G59" i="3"/>
  <c r="H59" i="3"/>
  <c r="I59" i="3"/>
  <c r="J59" i="3"/>
  <c r="K59" i="3"/>
  <c r="L59" i="3"/>
  <c r="C59" i="3"/>
  <c r="C54" i="3"/>
  <c r="D54" i="3"/>
  <c r="E54" i="3"/>
  <c r="F54" i="3"/>
  <c r="G54" i="3"/>
  <c r="H54" i="3"/>
  <c r="I54" i="3"/>
  <c r="J54" i="3"/>
  <c r="K54" i="3"/>
  <c r="L54" i="3"/>
  <c r="C55" i="3"/>
  <c r="D55" i="3"/>
  <c r="E55" i="3"/>
  <c r="F55" i="3"/>
  <c r="G55" i="3"/>
  <c r="H55" i="3"/>
  <c r="I55" i="3"/>
  <c r="J55" i="3"/>
  <c r="K55" i="3"/>
  <c r="L55" i="3"/>
  <c r="D53" i="3"/>
  <c r="E53" i="3"/>
  <c r="F53" i="3"/>
  <c r="G53" i="3"/>
  <c r="H53" i="3"/>
  <c r="I53" i="3"/>
  <c r="J53" i="3"/>
  <c r="K53" i="3"/>
  <c r="L53" i="3"/>
  <c r="C53" i="3"/>
  <c r="D47" i="3"/>
  <c r="E47" i="3"/>
  <c r="F47" i="3"/>
  <c r="G47" i="3"/>
  <c r="H47" i="3"/>
  <c r="I47" i="3"/>
  <c r="J47" i="3"/>
  <c r="K47" i="3"/>
  <c r="L47" i="3"/>
  <c r="D48" i="3"/>
  <c r="E48" i="3"/>
  <c r="F48" i="3"/>
  <c r="G48" i="3"/>
  <c r="H48" i="3"/>
  <c r="I48" i="3"/>
  <c r="J48" i="3"/>
  <c r="K48" i="3"/>
  <c r="L48" i="3"/>
  <c r="D49" i="3"/>
  <c r="E49" i="3"/>
  <c r="F49" i="3"/>
  <c r="G49" i="3"/>
  <c r="H49" i="3"/>
  <c r="I49" i="3"/>
  <c r="J49" i="3"/>
  <c r="K49" i="3"/>
  <c r="L49" i="3"/>
  <c r="D50" i="3"/>
  <c r="E50" i="3"/>
  <c r="F50" i="3"/>
  <c r="G50" i="3"/>
  <c r="H50" i="3"/>
  <c r="I50" i="3"/>
  <c r="J50" i="3"/>
  <c r="K50" i="3"/>
  <c r="L50" i="3"/>
  <c r="C48" i="3"/>
  <c r="C49" i="3"/>
  <c r="C50" i="3"/>
  <c r="C47" i="3"/>
  <c r="D36" i="3"/>
  <c r="D41" i="3" s="1"/>
  <c r="E36" i="3"/>
  <c r="E41" i="3" s="1"/>
  <c r="F36" i="3"/>
  <c r="F41" i="3" s="1"/>
  <c r="G36" i="3"/>
  <c r="G41" i="3" s="1"/>
  <c r="H36" i="3"/>
  <c r="H41" i="3" s="1"/>
  <c r="I36" i="3"/>
  <c r="I41" i="3" s="1"/>
  <c r="J36" i="3"/>
  <c r="J41" i="3" s="1"/>
  <c r="K36" i="3"/>
  <c r="K41" i="3" s="1"/>
  <c r="L36" i="3"/>
  <c r="L41" i="3" s="1"/>
  <c r="C36" i="3"/>
  <c r="C41" i="3" s="1"/>
  <c r="M30" i="3"/>
  <c r="D30" i="3"/>
  <c r="E30" i="3"/>
  <c r="F30" i="3"/>
  <c r="G30" i="3"/>
  <c r="H30" i="3"/>
  <c r="I30" i="3"/>
  <c r="J30" i="3"/>
  <c r="K30" i="3"/>
  <c r="L30" i="3"/>
  <c r="C30" i="3"/>
  <c r="M24" i="3"/>
  <c r="D24" i="3"/>
  <c r="E24" i="3"/>
  <c r="F24" i="3"/>
  <c r="G24" i="3"/>
  <c r="H24" i="3"/>
  <c r="I24" i="3"/>
  <c r="J24" i="3"/>
  <c r="K24" i="3"/>
  <c r="L24" i="3"/>
  <c r="C24" i="3"/>
  <c r="D21" i="3"/>
  <c r="E21" i="3"/>
  <c r="F21" i="3"/>
  <c r="G21" i="3"/>
  <c r="H21" i="3"/>
  <c r="I21" i="3"/>
  <c r="J21" i="3"/>
  <c r="K21" i="3"/>
  <c r="L21" i="3"/>
  <c r="M21" i="3"/>
  <c r="C21" i="3"/>
  <c r="M9" i="3"/>
  <c r="M6" i="3"/>
  <c r="D15" i="3"/>
  <c r="E15" i="3"/>
  <c r="F15" i="3"/>
  <c r="G15" i="3"/>
  <c r="H15" i="3"/>
  <c r="I15" i="3"/>
  <c r="J15" i="3"/>
  <c r="K15" i="3"/>
  <c r="L15" i="3"/>
  <c r="C15" i="3"/>
  <c r="D9" i="3"/>
  <c r="E9" i="3"/>
  <c r="F9" i="3"/>
  <c r="G9" i="3"/>
  <c r="H9" i="3"/>
  <c r="I9" i="3"/>
  <c r="J9" i="3"/>
  <c r="K9" i="3"/>
  <c r="L9" i="3"/>
  <c r="C9" i="3"/>
  <c r="D6" i="3"/>
  <c r="E6" i="3"/>
  <c r="E12" i="3" s="1"/>
  <c r="E13" i="3" s="1"/>
  <c r="E11" i="5" s="1"/>
  <c r="F6" i="3"/>
  <c r="G6" i="3"/>
  <c r="G12" i="3" s="1"/>
  <c r="G13" i="3" s="1"/>
  <c r="G11" i="5" s="1"/>
  <c r="H6" i="3"/>
  <c r="I6" i="3"/>
  <c r="I12" i="3" s="1"/>
  <c r="I13" i="3" s="1"/>
  <c r="I11" i="5" s="1"/>
  <c r="J6" i="3"/>
  <c r="K6" i="3"/>
  <c r="K12" i="3" s="1"/>
  <c r="K13" i="3" s="1"/>
  <c r="K11" i="5" s="1"/>
  <c r="L6" i="3"/>
  <c r="C6" i="3"/>
  <c r="L3" i="3"/>
  <c r="K3" i="3"/>
  <c r="D3" i="3"/>
  <c r="E3" i="3"/>
  <c r="F3" i="3"/>
  <c r="G3" i="3"/>
  <c r="H3" i="3"/>
  <c r="I3" i="3"/>
  <c r="J3" i="3"/>
  <c r="C3" i="3"/>
  <c r="B2" i="3"/>
  <c r="M16" i="3"/>
  <c r="B6" i="1"/>
  <c r="G35" i="19" s="1"/>
  <c r="E1" i="1"/>
  <c r="C37" i="4" l="1"/>
  <c r="E37" i="4"/>
  <c r="G37" i="4"/>
  <c r="I37" i="4"/>
  <c r="K37" i="4"/>
  <c r="C40" i="4"/>
  <c r="C36" i="4"/>
  <c r="C39" i="4"/>
  <c r="C38" i="4"/>
  <c r="C35" i="4"/>
  <c r="C34" i="4"/>
  <c r="C33" i="4"/>
  <c r="K39" i="4"/>
  <c r="K35" i="4"/>
  <c r="K38" i="4"/>
  <c r="K40" i="4"/>
  <c r="K34" i="4"/>
  <c r="K36" i="4"/>
  <c r="K33" i="4"/>
  <c r="I39" i="4"/>
  <c r="I35" i="4"/>
  <c r="I38" i="4"/>
  <c r="I40" i="4"/>
  <c r="I34" i="4"/>
  <c r="I36" i="4"/>
  <c r="I33" i="4"/>
  <c r="G39" i="4"/>
  <c r="G35" i="4"/>
  <c r="G38" i="4"/>
  <c r="G40" i="4"/>
  <c r="G34" i="4"/>
  <c r="G36" i="4"/>
  <c r="G33" i="4"/>
  <c r="E39" i="4"/>
  <c r="E35" i="4"/>
  <c r="E38" i="4"/>
  <c r="E40" i="4"/>
  <c r="E34" i="4"/>
  <c r="E36" i="4"/>
  <c r="E33" i="4"/>
  <c r="L33" i="4"/>
  <c r="J33" i="4"/>
  <c r="H33" i="4"/>
  <c r="F33" i="4"/>
  <c r="D33" i="4"/>
  <c r="L36" i="4"/>
  <c r="J36" i="4"/>
  <c r="H36" i="4"/>
  <c r="F36" i="4"/>
  <c r="D36" i="4"/>
  <c r="L34" i="4"/>
  <c r="J34" i="4"/>
  <c r="H34" i="4"/>
  <c r="F34" i="4"/>
  <c r="D34" i="4"/>
  <c r="L40" i="4"/>
  <c r="J40" i="4"/>
  <c r="H40" i="4"/>
  <c r="F40" i="4"/>
  <c r="D40" i="4"/>
  <c r="H10" i="6"/>
  <c r="K10" i="6"/>
  <c r="I10" i="6"/>
  <c r="D15" i="10"/>
  <c r="E15" i="10" s="1"/>
  <c r="D16" i="10"/>
  <c r="L10" i="6"/>
  <c r="J10" i="6"/>
  <c r="C31" i="5"/>
  <c r="L9" i="5"/>
  <c r="J9" i="5"/>
  <c r="H9" i="5"/>
  <c r="F9" i="5"/>
  <c r="D9" i="5"/>
  <c r="H31" i="6"/>
  <c r="H33" i="6" s="1"/>
  <c r="D11" i="11"/>
  <c r="K31" i="6"/>
  <c r="K33" i="6" s="1"/>
  <c r="I31" i="6"/>
  <c r="I33" i="6" s="1"/>
  <c r="L31" i="6"/>
  <c r="L33" i="6" s="1"/>
  <c r="J31" i="6"/>
  <c r="J33" i="6" s="1"/>
  <c r="D7" i="11"/>
  <c r="K104" i="3"/>
  <c r="K111" i="3" s="1"/>
  <c r="I104" i="3"/>
  <c r="I111" i="3" s="1"/>
  <c r="G104" i="3"/>
  <c r="G111" i="3" s="1"/>
  <c r="E104" i="3"/>
  <c r="E111" i="3" s="1"/>
  <c r="L104" i="3"/>
  <c r="L111" i="3" s="1"/>
  <c r="L25" i="3"/>
  <c r="L18" i="5" s="1"/>
  <c r="J22" i="3"/>
  <c r="H25" i="3"/>
  <c r="H18" i="5" s="1"/>
  <c r="F22" i="3"/>
  <c r="D25" i="3"/>
  <c r="D18" i="5" s="1"/>
  <c r="K9" i="5"/>
  <c r="I9" i="5"/>
  <c r="G9" i="5"/>
  <c r="E9" i="5"/>
  <c r="N9" i="5" s="1"/>
  <c r="C104" i="3"/>
  <c r="C111" i="3" s="1"/>
  <c r="J104" i="3"/>
  <c r="J111" i="3" s="1"/>
  <c r="H104" i="3"/>
  <c r="H111" i="3" s="1"/>
  <c r="F104" i="3"/>
  <c r="F111" i="3" s="1"/>
  <c r="D104" i="3"/>
  <c r="D111" i="3" s="1"/>
  <c r="L16" i="6"/>
  <c r="J16" i="6"/>
  <c r="D13" i="11"/>
  <c r="D9" i="11"/>
  <c r="D5" i="11"/>
  <c r="E5" i="11" s="1"/>
  <c r="D12" i="11"/>
  <c r="D10" i="11"/>
  <c r="E11" i="11" s="1"/>
  <c r="D8" i="11"/>
  <c r="D6" i="11"/>
  <c r="E7" i="11" s="1"/>
  <c r="G14" i="11"/>
  <c r="B15" i="11"/>
  <c r="L14" i="11"/>
  <c r="E10" i="11"/>
  <c r="E9" i="11"/>
  <c r="B18" i="10"/>
  <c r="D18" i="10" s="1"/>
  <c r="E18" i="10" s="1"/>
  <c r="H16" i="6"/>
  <c r="K16" i="6"/>
  <c r="I16" i="6"/>
  <c r="J18" i="6"/>
  <c r="C28" i="5"/>
  <c r="C30" i="5"/>
  <c r="L31" i="5"/>
  <c r="J31" i="5"/>
  <c r="H31" i="5"/>
  <c r="F31" i="5"/>
  <c r="D31" i="5"/>
  <c r="K30" i="5"/>
  <c r="I30" i="5"/>
  <c r="G30" i="5"/>
  <c r="E30" i="5"/>
  <c r="L29" i="5"/>
  <c r="L35" i="5" s="1"/>
  <c r="J29" i="5"/>
  <c r="J35" i="5" s="1"/>
  <c r="H29" i="5"/>
  <c r="H35" i="5" s="1"/>
  <c r="F29" i="5"/>
  <c r="F35" i="5" s="1"/>
  <c r="D29" i="5"/>
  <c r="D35" i="5" s="1"/>
  <c r="K28" i="5"/>
  <c r="K34" i="5" s="1"/>
  <c r="I28" i="5"/>
  <c r="I34" i="5" s="1"/>
  <c r="G28" i="5"/>
  <c r="G34" i="5" s="1"/>
  <c r="E28" i="5"/>
  <c r="E34" i="5" s="1"/>
  <c r="L27" i="5"/>
  <c r="L33" i="5" s="1"/>
  <c r="J27" i="5"/>
  <c r="J33" i="5" s="1"/>
  <c r="H27" i="5"/>
  <c r="H33" i="5" s="1"/>
  <c r="F27" i="5"/>
  <c r="F33" i="5" s="1"/>
  <c r="D27" i="5"/>
  <c r="D33" i="5" s="1"/>
  <c r="C27" i="5"/>
  <c r="C33" i="5" s="1"/>
  <c r="C29" i="5"/>
  <c r="C35" i="5" s="1"/>
  <c r="K31" i="5"/>
  <c r="I31" i="5"/>
  <c r="G31" i="5"/>
  <c r="E31" i="5"/>
  <c r="L30" i="5"/>
  <c r="J30" i="5"/>
  <c r="H30" i="5"/>
  <c r="F30" i="5"/>
  <c r="D30" i="5"/>
  <c r="K29" i="5"/>
  <c r="K35" i="5" s="1"/>
  <c r="I29" i="5"/>
  <c r="I35" i="5" s="1"/>
  <c r="G29" i="5"/>
  <c r="G35" i="5" s="1"/>
  <c r="E29" i="5"/>
  <c r="E35" i="5" s="1"/>
  <c r="L28" i="5"/>
  <c r="L34" i="5" s="1"/>
  <c r="J28" i="5"/>
  <c r="J34" i="5" s="1"/>
  <c r="H28" i="5"/>
  <c r="H34" i="5" s="1"/>
  <c r="F28" i="5"/>
  <c r="F34" i="5" s="1"/>
  <c r="D28" i="5"/>
  <c r="D34" i="5" s="1"/>
  <c r="K27" i="5"/>
  <c r="K33" i="5" s="1"/>
  <c r="I27" i="5"/>
  <c r="I33" i="5" s="1"/>
  <c r="G27" i="5"/>
  <c r="G33" i="5" s="1"/>
  <c r="E27" i="5"/>
  <c r="E33" i="5" s="1"/>
  <c r="C51" i="3"/>
  <c r="C57" i="3"/>
  <c r="C62" i="3"/>
  <c r="K62" i="3"/>
  <c r="I62" i="3"/>
  <c r="G62" i="3"/>
  <c r="E62" i="3"/>
  <c r="C90" i="3"/>
  <c r="C110" i="3" s="1"/>
  <c r="J90" i="3"/>
  <c r="J110" i="3" s="1"/>
  <c r="H90" i="3"/>
  <c r="H110" i="3" s="1"/>
  <c r="F90" i="3"/>
  <c r="F110" i="3" s="1"/>
  <c r="L90" i="3"/>
  <c r="L110" i="3" s="1"/>
  <c r="K90" i="3"/>
  <c r="K110" i="3" s="1"/>
  <c r="I90" i="3"/>
  <c r="I110" i="3" s="1"/>
  <c r="G90" i="3"/>
  <c r="G110" i="3" s="1"/>
  <c r="E90" i="3"/>
  <c r="E110" i="3" s="1"/>
  <c r="L78" i="3"/>
  <c r="J78" i="3"/>
  <c r="H78" i="3"/>
  <c r="F78" i="3"/>
  <c r="D78" i="3"/>
  <c r="K78" i="3"/>
  <c r="I78" i="3"/>
  <c r="G78" i="3"/>
  <c r="E78" i="3"/>
  <c r="L51" i="3"/>
  <c r="J51" i="3"/>
  <c r="H51" i="3"/>
  <c r="F51" i="3"/>
  <c r="D51" i="3"/>
  <c r="L62" i="3"/>
  <c r="J62" i="3"/>
  <c r="H62" i="3"/>
  <c r="F62" i="3"/>
  <c r="D62" i="3"/>
  <c r="L57" i="3"/>
  <c r="J57" i="3"/>
  <c r="H57" i="3"/>
  <c r="F57" i="3"/>
  <c r="D57" i="3"/>
  <c r="K51" i="3"/>
  <c r="I51" i="3"/>
  <c r="G51" i="3"/>
  <c r="E51" i="3"/>
  <c r="K57" i="3"/>
  <c r="I57" i="3"/>
  <c r="G57" i="3"/>
  <c r="E57" i="3"/>
  <c r="M10" i="3"/>
  <c r="K10" i="3"/>
  <c r="I10" i="3"/>
  <c r="G10" i="3"/>
  <c r="E10" i="3"/>
  <c r="L10" i="3"/>
  <c r="J10" i="3"/>
  <c r="H10" i="3"/>
  <c r="F10" i="3"/>
  <c r="D10" i="3"/>
  <c r="L22" i="3"/>
  <c r="H22" i="3"/>
  <c r="D22" i="3"/>
  <c r="K16" i="3"/>
  <c r="K17" i="5" s="1"/>
  <c r="I16" i="3"/>
  <c r="I17" i="5" s="1"/>
  <c r="G16" i="3"/>
  <c r="G17" i="5" s="1"/>
  <c r="E16" i="3"/>
  <c r="E17" i="5" s="1"/>
  <c r="M12" i="3"/>
  <c r="M18" i="3" s="1"/>
  <c r="M22" i="3"/>
  <c r="M25" i="3"/>
  <c r="M36" i="3"/>
  <c r="M41" i="3"/>
  <c r="L7" i="3"/>
  <c r="L5" i="5" s="1"/>
  <c r="J7" i="3"/>
  <c r="J5" i="5" s="1"/>
  <c r="H7" i="3"/>
  <c r="H5" i="5" s="1"/>
  <c r="F7" i="3"/>
  <c r="F5" i="5" s="1"/>
  <c r="C12" i="3"/>
  <c r="C13" i="3" s="1"/>
  <c r="C11" i="5" s="1"/>
  <c r="J12" i="3"/>
  <c r="H12" i="3"/>
  <c r="F12" i="3"/>
  <c r="D12" i="3"/>
  <c r="K18" i="3"/>
  <c r="K45" i="6" s="1"/>
  <c r="K47" i="6" s="1"/>
  <c r="I18" i="3"/>
  <c r="I45" i="6" s="1"/>
  <c r="I47" i="6" s="1"/>
  <c r="G18" i="3"/>
  <c r="E18" i="3"/>
  <c r="K22" i="3"/>
  <c r="I22" i="3"/>
  <c r="G22" i="3"/>
  <c r="E22" i="3"/>
  <c r="J25" i="3"/>
  <c r="J18" i="5" s="1"/>
  <c r="F25" i="3"/>
  <c r="F18" i="5" s="1"/>
  <c r="K7" i="3"/>
  <c r="K5" i="5" s="1"/>
  <c r="I7" i="3"/>
  <c r="I5" i="5" s="1"/>
  <c r="G7" i="3"/>
  <c r="G5" i="5" s="1"/>
  <c r="E7" i="3"/>
  <c r="E5" i="5" s="1"/>
  <c r="L16" i="3"/>
  <c r="L17" i="5" s="1"/>
  <c r="J16" i="3"/>
  <c r="J17" i="5" s="1"/>
  <c r="H16" i="3"/>
  <c r="H17" i="5" s="1"/>
  <c r="F16" i="3"/>
  <c r="F17" i="5" s="1"/>
  <c r="D16" i="3"/>
  <c r="D17" i="5" s="1"/>
  <c r="M7" i="3"/>
  <c r="L12" i="3"/>
  <c r="K25" i="3"/>
  <c r="K18" i="5" s="1"/>
  <c r="I25" i="3"/>
  <c r="I18" i="5" s="1"/>
  <c r="G25" i="3"/>
  <c r="G18" i="5" s="1"/>
  <c r="E25" i="3"/>
  <c r="E18" i="5" s="1"/>
  <c r="C10" i="3"/>
  <c r="C16" i="3"/>
  <c r="C17" i="5" s="1"/>
  <c r="C22" i="3"/>
  <c r="C25" i="3"/>
  <c r="C18" i="5" s="1"/>
  <c r="C78" i="3"/>
  <c r="C109" i="3" s="1"/>
  <c r="D7" i="3"/>
  <c r="D5" i="5" s="1"/>
  <c r="E16" i="10" l="1"/>
  <c r="E17" i="10"/>
  <c r="O31" i="5"/>
  <c r="I18" i="6"/>
  <c r="J43" i="6" s="1"/>
  <c r="J49" i="6" s="1"/>
  <c r="H18" i="6"/>
  <c r="H35" i="6" s="1"/>
  <c r="O9" i="5"/>
  <c r="J35" i="6"/>
  <c r="I35" i="6"/>
  <c r="I38" i="6" s="1"/>
  <c r="I59" i="6" s="1"/>
  <c r="N31" i="5"/>
  <c r="E64" i="3"/>
  <c r="E66" i="3" s="1"/>
  <c r="I64" i="3"/>
  <c r="I66" i="3" s="1"/>
  <c r="G36" i="5"/>
  <c r="K36" i="5"/>
  <c r="L18" i="6"/>
  <c r="E13" i="11"/>
  <c r="L15" i="11"/>
  <c r="B16" i="11"/>
  <c r="D15" i="11"/>
  <c r="G15" i="11"/>
  <c r="E8" i="11"/>
  <c r="D14" i="11"/>
  <c r="E14" i="11" s="1"/>
  <c r="E12" i="11"/>
  <c r="E6" i="11"/>
  <c r="B19" i="10"/>
  <c r="D19" i="10" s="1"/>
  <c r="E19" i="10" s="1"/>
  <c r="K18" i="6"/>
  <c r="N33" i="5"/>
  <c r="O33" i="5"/>
  <c r="N5" i="5"/>
  <c r="O5" i="5"/>
  <c r="N18" i="5"/>
  <c r="O18" i="5"/>
  <c r="N17" i="5"/>
  <c r="O17" i="5"/>
  <c r="G21" i="4"/>
  <c r="G21" i="5"/>
  <c r="G25" i="5"/>
  <c r="G13" i="5"/>
  <c r="G19" i="5" s="1"/>
  <c r="K21" i="4"/>
  <c r="K21" i="5"/>
  <c r="K25" i="5"/>
  <c r="K13" i="5"/>
  <c r="K19" i="5" s="1"/>
  <c r="C41" i="5"/>
  <c r="C39" i="5"/>
  <c r="E21" i="4"/>
  <c r="E21" i="5"/>
  <c r="E25" i="5"/>
  <c r="E13" i="5"/>
  <c r="E19" i="5" s="1"/>
  <c r="I21" i="4"/>
  <c r="I21" i="5"/>
  <c r="I25" i="5"/>
  <c r="I13" i="5"/>
  <c r="I19" i="5" s="1"/>
  <c r="E109" i="3"/>
  <c r="E106" i="3"/>
  <c r="E112" i="3" s="1"/>
  <c r="I109" i="3"/>
  <c r="I106" i="3"/>
  <c r="I112" i="3" s="1"/>
  <c r="D106" i="3"/>
  <c r="D112" i="3" s="1"/>
  <c r="D109" i="3"/>
  <c r="H106" i="3"/>
  <c r="H112" i="3" s="1"/>
  <c r="H109" i="3"/>
  <c r="L106" i="3"/>
  <c r="L112" i="3" s="1"/>
  <c r="L109" i="3"/>
  <c r="N29" i="5"/>
  <c r="O29" i="5"/>
  <c r="N28" i="5"/>
  <c r="C34" i="5"/>
  <c r="C36" i="5" s="1"/>
  <c r="O28" i="5"/>
  <c r="E36" i="5"/>
  <c r="I36" i="5"/>
  <c r="D36" i="5"/>
  <c r="H36" i="5"/>
  <c r="L36" i="5"/>
  <c r="G109" i="3"/>
  <c r="G106" i="3"/>
  <c r="G112" i="3" s="1"/>
  <c r="K109" i="3"/>
  <c r="K106" i="3"/>
  <c r="K112" i="3" s="1"/>
  <c r="F106" i="3"/>
  <c r="F112" i="3" s="1"/>
  <c r="F109" i="3"/>
  <c r="J106" i="3"/>
  <c r="J112" i="3" s="1"/>
  <c r="J109" i="3"/>
  <c r="N35" i="5"/>
  <c r="O35" i="5"/>
  <c r="N27" i="5"/>
  <c r="O27" i="5"/>
  <c r="N30" i="5"/>
  <c r="O30" i="5"/>
  <c r="F36" i="5"/>
  <c r="J36" i="5"/>
  <c r="C18" i="3"/>
  <c r="C27" i="3" s="1"/>
  <c r="M13" i="3"/>
  <c r="D64" i="3"/>
  <c r="D66" i="3" s="1"/>
  <c r="H64" i="3"/>
  <c r="H66" i="3" s="1"/>
  <c r="L64" i="3"/>
  <c r="L66" i="3" s="1"/>
  <c r="C64" i="3"/>
  <c r="C66" i="3" s="1"/>
  <c r="G64" i="3"/>
  <c r="G66" i="3" s="1"/>
  <c r="K64" i="3"/>
  <c r="K66" i="3" s="1"/>
  <c r="F64" i="3"/>
  <c r="F66" i="3" s="1"/>
  <c r="J64" i="3"/>
  <c r="J66" i="3" s="1"/>
  <c r="L18" i="3"/>
  <c r="L45" i="6" s="1"/>
  <c r="L47" i="6" s="1"/>
  <c r="L13" i="3"/>
  <c r="L11" i="5" s="1"/>
  <c r="E27" i="3"/>
  <c r="E19" i="3"/>
  <c r="E12" i="5" s="1"/>
  <c r="I27" i="3"/>
  <c r="I19" i="3"/>
  <c r="I12" i="5" s="1"/>
  <c r="D18" i="3"/>
  <c r="D13" i="3"/>
  <c r="D11" i="5" s="1"/>
  <c r="H18" i="3"/>
  <c r="H45" i="6" s="1"/>
  <c r="H47" i="6" s="1"/>
  <c r="H13" i="3"/>
  <c r="H11" i="5" s="1"/>
  <c r="C106" i="3"/>
  <c r="C112" i="3" s="1"/>
  <c r="G27" i="3"/>
  <c r="G19" i="3"/>
  <c r="G12" i="5" s="1"/>
  <c r="K27" i="3"/>
  <c r="K19" i="3"/>
  <c r="K12" i="5" s="1"/>
  <c r="F18" i="3"/>
  <c r="G6" i="5" s="1"/>
  <c r="F13" i="3"/>
  <c r="F11" i="5" s="1"/>
  <c r="J18" i="3"/>
  <c r="J45" i="6" s="1"/>
  <c r="J47" i="6" s="1"/>
  <c r="J13" i="3"/>
  <c r="J11" i="5" s="1"/>
  <c r="M27" i="3"/>
  <c r="M19" i="3"/>
  <c r="C19" i="3" l="1"/>
  <c r="C12" i="5" s="1"/>
  <c r="I43" i="6"/>
  <c r="I49" i="6" s="1"/>
  <c r="I51" i="6" s="1"/>
  <c r="I58" i="6" s="1"/>
  <c r="I61" i="6" s="1"/>
  <c r="I4" i="11" a="1"/>
  <c r="J38" i="6"/>
  <c r="J59" i="6" s="1"/>
  <c r="H38" i="6"/>
  <c r="H59" i="6" s="1"/>
  <c r="J51" i="6"/>
  <c r="J58" i="6" s="1"/>
  <c r="J61" i="6" s="1"/>
  <c r="K43" i="6"/>
  <c r="K49" i="6" s="1"/>
  <c r="K51" i="6" s="1"/>
  <c r="K58" i="6" s="1"/>
  <c r="K35" i="6"/>
  <c r="K38" i="6" s="1"/>
  <c r="K59" i="6" s="1"/>
  <c r="L43" i="6"/>
  <c r="L49" i="6" s="1"/>
  <c r="L51" i="6" s="1"/>
  <c r="L58" i="6" s="1"/>
  <c r="L35" i="6"/>
  <c r="N11" i="5"/>
  <c r="L38" i="6"/>
  <c r="L59" i="6" s="1"/>
  <c r="E15" i="11"/>
  <c r="G16" i="11"/>
  <c r="B17" i="11"/>
  <c r="D16" i="11"/>
  <c r="E16" i="11" s="1"/>
  <c r="L16" i="11"/>
  <c r="B20" i="10"/>
  <c r="D20" i="10" s="1"/>
  <c r="E20" i="10" s="1"/>
  <c r="H21" i="4"/>
  <c r="H13" i="5"/>
  <c r="H19" i="5" s="1"/>
  <c r="H6" i="5"/>
  <c r="H21" i="5"/>
  <c r="H25" i="5"/>
  <c r="D21" i="4"/>
  <c r="D13" i="5"/>
  <c r="D19" i="5" s="1"/>
  <c r="D21" i="5"/>
  <c r="D25" i="5"/>
  <c r="D6" i="5"/>
  <c r="L21" i="4"/>
  <c r="L13" i="5"/>
  <c r="L19" i="5" s="1"/>
  <c r="L6" i="5"/>
  <c r="L21" i="5"/>
  <c r="L25" i="5"/>
  <c r="C21" i="4"/>
  <c r="C25" i="5"/>
  <c r="C21" i="5"/>
  <c r="C13" i="5"/>
  <c r="J40" i="5"/>
  <c r="J39" i="5"/>
  <c r="J41" i="5"/>
  <c r="F40" i="5"/>
  <c r="F39" i="5"/>
  <c r="F41" i="5"/>
  <c r="N34" i="5"/>
  <c r="O34" i="5"/>
  <c r="L40" i="5"/>
  <c r="L39" i="5"/>
  <c r="L41" i="5"/>
  <c r="H40" i="5"/>
  <c r="H39" i="5"/>
  <c r="H41" i="5"/>
  <c r="D40" i="5"/>
  <c r="D39" i="5"/>
  <c r="D41" i="5"/>
  <c r="O11" i="5"/>
  <c r="I6" i="5"/>
  <c r="C40" i="5"/>
  <c r="J21" i="4"/>
  <c r="J13" i="5"/>
  <c r="J19" i="5" s="1"/>
  <c r="J6" i="5"/>
  <c r="J21" i="5"/>
  <c r="J25" i="5"/>
  <c r="F21" i="4"/>
  <c r="F13" i="5"/>
  <c r="F19" i="5" s="1"/>
  <c r="F6" i="5"/>
  <c r="F21" i="5"/>
  <c r="F25" i="5"/>
  <c r="N36" i="5"/>
  <c r="O36" i="5"/>
  <c r="K39" i="5"/>
  <c r="K41" i="5"/>
  <c r="K40" i="5"/>
  <c r="G39" i="5"/>
  <c r="G41" i="5"/>
  <c r="G40" i="5"/>
  <c r="I39" i="5"/>
  <c r="I41" i="5"/>
  <c r="I40" i="5"/>
  <c r="E39" i="5"/>
  <c r="E41" i="5"/>
  <c r="E40" i="5"/>
  <c r="E6" i="5"/>
  <c r="K6" i="5"/>
  <c r="H27" i="3"/>
  <c r="H7" i="5" s="1"/>
  <c r="H19" i="3"/>
  <c r="H12" i="5" s="1"/>
  <c r="D27" i="3"/>
  <c r="D7" i="5" s="1"/>
  <c r="D19" i="3"/>
  <c r="D12" i="5" s="1"/>
  <c r="I33" i="3"/>
  <c r="I28" i="3"/>
  <c r="I14" i="5" s="1"/>
  <c r="I31" i="3"/>
  <c r="E33" i="3"/>
  <c r="E28" i="3"/>
  <c r="E14" i="5" s="1"/>
  <c r="E31" i="3"/>
  <c r="L27" i="3"/>
  <c r="L7" i="5" s="1"/>
  <c r="L19" i="3"/>
  <c r="L12" i="5" s="1"/>
  <c r="M33" i="3"/>
  <c r="M28" i="3"/>
  <c r="M31" i="3"/>
  <c r="J27" i="3"/>
  <c r="J7" i="5" s="1"/>
  <c r="J19" i="3"/>
  <c r="J12" i="5" s="1"/>
  <c r="F27" i="3"/>
  <c r="F7" i="5" s="1"/>
  <c r="F19" i="3"/>
  <c r="F12" i="5" s="1"/>
  <c r="K33" i="3"/>
  <c r="K28" i="3"/>
  <c r="K14" i="5" s="1"/>
  <c r="K31" i="3"/>
  <c r="G33" i="3"/>
  <c r="G28" i="3"/>
  <c r="G14" i="5" s="1"/>
  <c r="G31" i="3"/>
  <c r="C33" i="3"/>
  <c r="C28" i="3"/>
  <c r="C14" i="5" s="1"/>
  <c r="C31" i="3"/>
  <c r="L54" i="6" l="1"/>
  <c r="G8" i="19" s="1"/>
  <c r="L53" i="6"/>
  <c r="L61" i="6"/>
  <c r="L64" i="6" s="1"/>
  <c r="G15" i="19" s="1"/>
  <c r="H5" i="19" s="1"/>
  <c r="N39" i="5"/>
  <c r="C23" i="5"/>
  <c r="I4" i="11"/>
  <c r="I5" i="11"/>
  <c r="I9" i="11"/>
  <c r="I13" i="11"/>
  <c r="I7" i="11"/>
  <c r="I11" i="11"/>
  <c r="I12" i="11"/>
  <c r="I8" i="11"/>
  <c r="I10" i="11"/>
  <c r="J10" i="11" s="1"/>
  <c r="I6" i="11"/>
  <c r="J6" i="11" s="1"/>
  <c r="O12" i="5"/>
  <c r="O39" i="5"/>
  <c r="O41" i="5"/>
  <c r="N41" i="5"/>
  <c r="K61" i="6"/>
  <c r="L17" i="11"/>
  <c r="B18" i="11"/>
  <c r="D17" i="11"/>
  <c r="E17" i="11" s="1"/>
  <c r="G17" i="11"/>
  <c r="B21" i="10"/>
  <c r="D21" i="10" s="1"/>
  <c r="E21" i="10" s="1"/>
  <c r="K23" i="5"/>
  <c r="E23" i="5"/>
  <c r="N40" i="5"/>
  <c r="O40" i="5"/>
  <c r="C19" i="5"/>
  <c r="N13" i="5"/>
  <c r="O13" i="5"/>
  <c r="N25" i="5"/>
  <c r="O25" i="5"/>
  <c r="G7" i="5"/>
  <c r="I7" i="5"/>
  <c r="N12" i="5"/>
  <c r="G23" i="5"/>
  <c r="I23" i="5"/>
  <c r="N21" i="5"/>
  <c r="O21" i="5"/>
  <c r="N6" i="5"/>
  <c r="O6" i="5"/>
  <c r="K7" i="5"/>
  <c r="E7" i="5"/>
  <c r="N7" i="5" s="1"/>
  <c r="K38" i="3"/>
  <c r="K34" i="3"/>
  <c r="K15" i="5" s="1"/>
  <c r="F28" i="3"/>
  <c r="F14" i="5" s="1"/>
  <c r="F33" i="3"/>
  <c r="G8" i="5" s="1"/>
  <c r="F31" i="3"/>
  <c r="J28" i="3"/>
  <c r="J14" i="5" s="1"/>
  <c r="J33" i="3"/>
  <c r="K8" i="5" s="1"/>
  <c r="J31" i="3"/>
  <c r="E38" i="3"/>
  <c r="E34" i="3"/>
  <c r="E15" i="5" s="1"/>
  <c r="G38" i="3"/>
  <c r="G34" i="3"/>
  <c r="G15" i="5" s="1"/>
  <c r="M38" i="3"/>
  <c r="M34" i="3"/>
  <c r="L31" i="3"/>
  <c r="L28" i="3"/>
  <c r="L14" i="5" s="1"/>
  <c r="L33" i="3"/>
  <c r="I38" i="3"/>
  <c r="I34" i="3"/>
  <c r="I15" i="5" s="1"/>
  <c r="D31" i="3"/>
  <c r="D28" i="3"/>
  <c r="D14" i="5" s="1"/>
  <c r="D33" i="3"/>
  <c r="N4" i="11" s="1" a="1"/>
  <c r="H31" i="3"/>
  <c r="H28" i="3"/>
  <c r="H14" i="5" s="1"/>
  <c r="O14" i="5" s="1"/>
  <c r="H33" i="3"/>
  <c r="I8" i="5" s="1"/>
  <c r="C38" i="3"/>
  <c r="C34" i="3"/>
  <c r="C15" i="5" s="1"/>
  <c r="I5" i="19" l="1"/>
  <c r="H7" i="19"/>
  <c r="H8" i="19"/>
  <c r="I8" i="19" s="1"/>
  <c r="J8" i="19" s="1"/>
  <c r="K8" i="19" s="1"/>
  <c r="L8" i="19" s="1"/>
  <c r="G9" i="19"/>
  <c r="H9" i="19" s="1"/>
  <c r="L63" i="6"/>
  <c r="J8" i="11"/>
  <c r="J11" i="11"/>
  <c r="J13" i="11"/>
  <c r="J5" i="11"/>
  <c r="N4" i="11"/>
  <c r="N6" i="11"/>
  <c r="N8" i="11"/>
  <c r="N10" i="11"/>
  <c r="N12" i="11"/>
  <c r="N5" i="11"/>
  <c r="N7" i="11"/>
  <c r="N9" i="11"/>
  <c r="N11" i="11"/>
  <c r="N13" i="11"/>
  <c r="I15" i="11"/>
  <c r="I17" i="11"/>
  <c r="I14" i="11"/>
  <c r="J14" i="11" s="1"/>
  <c r="I16" i="11"/>
  <c r="J16" i="11" s="1"/>
  <c r="N14" i="5"/>
  <c r="J12" i="11"/>
  <c r="J7" i="11"/>
  <c r="J9" i="11"/>
  <c r="G18" i="11"/>
  <c r="I18" i="11" s="1"/>
  <c r="B19" i="11"/>
  <c r="D18" i="11"/>
  <c r="E18" i="11" s="1"/>
  <c r="L18" i="11"/>
  <c r="D23" i="5"/>
  <c r="D8" i="5"/>
  <c r="H8" i="5"/>
  <c r="H23" i="5"/>
  <c r="L8" i="5"/>
  <c r="L23" i="5"/>
  <c r="J8" i="5"/>
  <c r="J23" i="5"/>
  <c r="N19" i="5"/>
  <c r="O19" i="5"/>
  <c r="O7" i="5"/>
  <c r="F8" i="5"/>
  <c r="F23" i="5"/>
  <c r="E8" i="5"/>
  <c r="D34" i="3"/>
  <c r="D15" i="5" s="1"/>
  <c r="D38" i="3"/>
  <c r="I42" i="3"/>
  <c r="I44" i="3" s="1"/>
  <c r="I22" i="5" s="1"/>
  <c r="I24" i="5" s="1"/>
  <c r="F34" i="3"/>
  <c r="F15" i="5" s="1"/>
  <c r="F38" i="3"/>
  <c r="H34" i="3"/>
  <c r="H15" i="5" s="1"/>
  <c r="H38" i="3"/>
  <c r="L34" i="3"/>
  <c r="L15" i="5" s="1"/>
  <c r="L38" i="3"/>
  <c r="M42" i="3"/>
  <c r="M44" i="3" s="1"/>
  <c r="G42" i="3"/>
  <c r="G44" i="3" s="1"/>
  <c r="G22" i="5" s="1"/>
  <c r="G24" i="5" s="1"/>
  <c r="E42" i="3"/>
  <c r="E44" i="3" s="1"/>
  <c r="E22" i="5" s="1"/>
  <c r="E24" i="5" s="1"/>
  <c r="J34" i="3"/>
  <c r="J15" i="5" s="1"/>
  <c r="J38" i="3"/>
  <c r="K42" i="3"/>
  <c r="K44" i="3" s="1"/>
  <c r="K22" i="5" s="1"/>
  <c r="K24" i="5" s="1"/>
  <c r="C42" i="3"/>
  <c r="J5" i="19" l="1"/>
  <c r="I7" i="19"/>
  <c r="I9" i="19"/>
  <c r="H13" i="19"/>
  <c r="J17" i="11"/>
  <c r="O13" i="11"/>
  <c r="O9" i="11"/>
  <c r="O5" i="11"/>
  <c r="O11" i="11"/>
  <c r="O7" i="11"/>
  <c r="N15" i="11"/>
  <c r="N17" i="11"/>
  <c r="N14" i="11"/>
  <c r="O14" i="11" s="1"/>
  <c r="N16" i="11"/>
  <c r="O16" i="11" s="1"/>
  <c r="N18" i="11"/>
  <c r="N15" i="5"/>
  <c r="J15" i="11"/>
  <c r="O12" i="11"/>
  <c r="O8" i="11"/>
  <c r="O15" i="5"/>
  <c r="O10" i="11"/>
  <c r="O6" i="11"/>
  <c r="L19" i="11"/>
  <c r="N19" i="11" s="1"/>
  <c r="B20" i="11"/>
  <c r="D20" i="11" s="1"/>
  <c r="D19" i="11"/>
  <c r="E19" i="11" s="1"/>
  <c r="G19" i="11"/>
  <c r="I19" i="11" s="1"/>
  <c r="J18" i="11"/>
  <c r="N23" i="5"/>
  <c r="O23" i="5"/>
  <c r="N8" i="5"/>
  <c r="O8" i="5"/>
  <c r="K39" i="3"/>
  <c r="D42" i="3"/>
  <c r="D44" i="3"/>
  <c r="D22" i="5" s="1"/>
  <c r="D24" i="5" s="1"/>
  <c r="M39" i="3"/>
  <c r="I39" i="3"/>
  <c r="G39" i="3"/>
  <c r="D39" i="3"/>
  <c r="E39" i="3"/>
  <c r="J39" i="3"/>
  <c r="J42" i="3"/>
  <c r="J44" i="3" s="1"/>
  <c r="J22" i="5" s="1"/>
  <c r="J24" i="5" s="1"/>
  <c r="L39" i="3"/>
  <c r="L42" i="3"/>
  <c r="L44" i="3" s="1"/>
  <c r="L22" i="5" s="1"/>
  <c r="L24" i="5" s="1"/>
  <c r="H39" i="3"/>
  <c r="H42" i="3"/>
  <c r="H44" i="3" s="1"/>
  <c r="H22" i="5" s="1"/>
  <c r="H24" i="5" s="1"/>
  <c r="F39" i="3"/>
  <c r="F42" i="3"/>
  <c r="F44" i="3" s="1"/>
  <c r="F22" i="5" s="1"/>
  <c r="F24" i="5" s="1"/>
  <c r="C44" i="3"/>
  <c r="C22" i="5" s="1"/>
  <c r="J9" i="19" l="1"/>
  <c r="I13" i="19"/>
  <c r="K5" i="19"/>
  <c r="J7" i="19"/>
  <c r="O18" i="11"/>
  <c r="O15" i="11"/>
  <c r="O17" i="11"/>
  <c r="G20" i="11"/>
  <c r="I20" i="11" s="1"/>
  <c r="J19" i="11"/>
  <c r="L20" i="11"/>
  <c r="N20" i="11" s="1"/>
  <c r="O19" i="11"/>
  <c r="E20" i="11"/>
  <c r="N22" i="5"/>
  <c r="O22" i="5"/>
  <c r="C24" i="5"/>
  <c r="L5" i="19" l="1"/>
  <c r="L7" i="19" s="1"/>
  <c r="K7" i="19"/>
  <c r="K9" i="19"/>
  <c r="J13" i="19"/>
  <c r="O20" i="11"/>
  <c r="J20" i="11"/>
  <c r="N24" i="5"/>
  <c r="O24" i="5"/>
  <c r="L9" i="19" l="1"/>
  <c r="K13" i="19"/>
  <c r="G20" i="19" l="1"/>
  <c r="G24" i="19" s="1"/>
  <c r="L13" i="19"/>
  <c r="G27" i="19" s="1"/>
  <c r="G28" i="19" l="1"/>
  <c r="G30" i="19" s="1"/>
  <c r="G34" i="19" s="1"/>
  <c r="G37" i="19" s="1"/>
  <c r="G29" i="19"/>
  <c r="I19" i="19" l="1"/>
  <c r="G41" i="19"/>
  <c r="G40" i="19"/>
</calcChain>
</file>

<file path=xl/sharedStrings.xml><?xml version="1.0" encoding="utf-8"?>
<sst xmlns="http://schemas.openxmlformats.org/spreadsheetml/2006/main" count="864" uniqueCount="424">
  <si>
    <t>COMPANY NAME</t>
  </si>
  <si>
    <t>VARUN BEVERAGES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</si>
  <si>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</si>
  <si>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</si>
  <si>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</si>
  <si>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</si>
  <si>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</si>
  <si>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</si>
  <si>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</si>
  <si>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</si>
  <si>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</si>
  <si>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</si>
  <si>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</si>
  <si>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</si>
  <si>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</si>
  <si>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</si>
  <si>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</si>
  <si>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</si>
  <si>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</si>
  <si>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</si>
  <si>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</si>
  <si>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</si>
  <si>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</si>
  <si>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</si>
  <si>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</si>
  <si>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</si>
  <si>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</si>
  <si>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</si>
  <si>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</si>
  <si>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</si>
  <si>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</si>
  <si>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</si>
  <si>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</si>
  <si>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</si>
  <si>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</si>
  <si>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</si>
  <si>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</si>
  <si>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</si>
  <si>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</si>
  <si>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</si>
  <si>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</si>
  <si>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</si>
  <si>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</si>
  <si>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</si>
  <si>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</si>
  <si>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</si>
  <si>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</si>
  <si>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</si>
  <si>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</si>
  <si>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</si>
  <si>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</si>
  <si>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</si>
  <si>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</si>
  <si>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</si>
  <si>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</si>
  <si>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</si>
  <si>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#</t>
  </si>
  <si>
    <t>Income Statement</t>
  </si>
  <si>
    <t>Sales Growth</t>
  </si>
  <si>
    <t xml:space="preserve"> -</t>
  </si>
  <si>
    <t>COGS</t>
  </si>
  <si>
    <t>CoGS % of sales</t>
  </si>
  <si>
    <t>Gross profit</t>
  </si>
  <si>
    <t>Gross profit margins</t>
  </si>
  <si>
    <t>selling &amp; General Expenses</t>
  </si>
  <si>
    <t>EBITDA</t>
  </si>
  <si>
    <t>EBITDA margins</t>
  </si>
  <si>
    <t>Interest % sales</t>
  </si>
  <si>
    <t>Depreciation % sales</t>
  </si>
  <si>
    <t>EBT(Earnings Before Tax)</t>
  </si>
  <si>
    <t>EBT margins</t>
  </si>
  <si>
    <t>Effetive Tax rate</t>
  </si>
  <si>
    <t>Net Profit</t>
  </si>
  <si>
    <t>Net margins</t>
  </si>
  <si>
    <t>No. of Equity Share</t>
  </si>
  <si>
    <t>EPS growth %</t>
  </si>
  <si>
    <t>Dividend per share</t>
  </si>
  <si>
    <t>Dividend payout Ratio</t>
  </si>
  <si>
    <t>Balance Sheet</t>
  </si>
  <si>
    <t>Total Liabilities</t>
  </si>
  <si>
    <t>Fixed Assets Net Block</t>
  </si>
  <si>
    <t>Total Non Current Assets</t>
  </si>
  <si>
    <t>Total Current Assets</t>
  </si>
  <si>
    <t>check</t>
  </si>
  <si>
    <t>Cash Flow Statement</t>
  </si>
  <si>
    <t>Operating Activity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</si>
  <si>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</si>
  <si>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</si>
  <si>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</si>
  <si>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</si>
  <si>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</si>
  <si>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</si>
  <si>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Flow from operating Activity</t>
  </si>
  <si>
    <t>Investing Activity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</si>
  <si>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</si>
  <si>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</si>
  <si>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</si>
  <si>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</si>
  <si>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</si>
  <si>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</si>
  <si>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</si>
  <si>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Acquisition of companies</t>
  </si>
  <si>
    <t>Other investing items</t>
  </si>
  <si>
    <t>cash Flow from investing  Activity</t>
  </si>
  <si>
    <t>Financing Activity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</si>
  <si>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</si>
  <si>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</si>
  <si>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</si>
  <si>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</si>
  <si>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</si>
  <si>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</si>
  <si>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</si>
  <si>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</si>
  <si>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from Financing Activity</t>
  </si>
  <si>
    <t>Cash flow Statement(condensed form)</t>
  </si>
  <si>
    <t>S&amp;G exp % sales</t>
  </si>
  <si>
    <t>Retained Eanings</t>
  </si>
  <si>
    <t>Earnings per share</t>
  </si>
  <si>
    <t>Total Assets</t>
  </si>
  <si>
    <t>Cash from Operating Activity -</t>
  </si>
  <si>
    <t>Cash from Investing Activity -</t>
  </si>
  <si>
    <t>Cash from Financing Activity -</t>
  </si>
  <si>
    <t>Proceeds from debentures</t>
  </si>
  <si>
    <t>Share application money</t>
  </si>
  <si>
    <t>Application money refund</t>
  </si>
  <si>
    <t>Equity Capital</t>
  </si>
  <si>
    <t>Borrowings -</t>
  </si>
  <si>
    <t>Long term Borrowings</t>
  </si>
  <si>
    <t>Short term Borrowings</t>
  </si>
  <si>
    <t>Lease Liabilities</t>
  </si>
  <si>
    <t>Preference Capital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</si>
  <si>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</si>
  <si>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</si>
  <si>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</si>
  <si>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</si>
  <si>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</si>
  <si>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</si>
  <si>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</si>
  <si>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</si>
  <si>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</si>
  <si>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</si>
  <si>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</si>
  <si>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</si>
  <si>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</si>
  <si>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</si>
  <si>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</si>
  <si>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</si>
  <si>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</si>
  <si>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</si>
  <si>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</si>
  <si>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</si>
  <si>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</si>
  <si>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-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</si>
  <si>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</si>
  <si>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</si>
  <si>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</si>
  <si>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</si>
  <si>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</si>
  <si>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</si>
  <si>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Particulars</t>
  </si>
  <si>
    <t>Trend</t>
  </si>
  <si>
    <t>Mean</t>
  </si>
  <si>
    <t>Median</t>
  </si>
  <si>
    <t xml:space="preserve">SPARKLINE </t>
  </si>
  <si>
    <t>EBITDA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</si>
  <si>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</si>
  <si>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</si>
  <si>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</si>
  <si>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</si>
  <si>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</si>
  <si>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</si>
  <si>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</si>
  <si>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</si>
  <si>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</si>
  <si>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 Income%sales</t>
  </si>
  <si>
    <t>Return on capital Employed</t>
  </si>
  <si>
    <t>Retained earnings %</t>
  </si>
  <si>
    <t>Return on Equity %</t>
  </si>
  <si>
    <t>Self Sustained Growth Rate</t>
  </si>
  <si>
    <t>Interest Coverge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</si>
  <si>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</si>
  <si>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</si>
  <si>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</si>
  <si>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</si>
  <si>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</si>
  <si>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</si>
  <si>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</si>
  <si>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</si>
  <si>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Cycle(in days)</t>
  </si>
  <si>
    <t>CFO/Sales</t>
  </si>
  <si>
    <t>CFO/Total Assets</t>
  </si>
  <si>
    <t>CFO/Total Debt</t>
  </si>
  <si>
    <t>EBT Growth</t>
  </si>
  <si>
    <t>Reinvestment</t>
  </si>
  <si>
    <t>Calculation of ROIC</t>
  </si>
  <si>
    <t>Current Assets</t>
  </si>
  <si>
    <t>Total 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</si>
  <si>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</si>
  <si>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</si>
  <si>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</si>
  <si>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</si>
  <si>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</si>
  <si>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</si>
  <si>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</si>
  <si>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</si>
  <si>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</si>
  <si>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</si>
  <si>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</si>
  <si>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</si>
  <si>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EBIT(1-T)</t>
  </si>
  <si>
    <t>Reinvestment rate</t>
  </si>
  <si>
    <t>4 year Average</t>
  </si>
  <si>
    <t>Calculation of growth rate</t>
  </si>
  <si>
    <t>Reinvestment Rate</t>
  </si>
  <si>
    <t>Intrinsic Growth</t>
  </si>
  <si>
    <t>4 year Median</t>
  </si>
  <si>
    <t>Year Weight</t>
  </si>
  <si>
    <t>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</si>
  <si>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</si>
  <si>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</si>
  <si>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</si>
  <si>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</si>
  <si>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</si>
  <si>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</si>
  <si>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</si>
  <si>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</si>
  <si>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</si>
  <si>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</si>
  <si>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</si>
  <si>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</si>
  <si>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</si>
  <si>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</si>
  <si>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</si>
  <si>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</si>
  <si>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</si>
  <si>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</si>
  <si>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</si>
  <si>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</si>
  <si>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</si>
  <si>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</si>
  <si>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</si>
  <si>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Weighted Average Cost of Capital</t>
  </si>
  <si>
    <t>All figures are in INR unless stated otherwise</t>
  </si>
  <si>
    <t>Peer Comps</t>
  </si>
  <si>
    <t>Debt/</t>
  </si>
  <si>
    <t>Leveraged</t>
  </si>
  <si>
    <t xml:space="preserve">Unleveraged </t>
  </si>
  <si>
    <t>Name of the Comp</t>
  </si>
  <si>
    <t>Country</t>
  </si>
  <si>
    <t>Total Debt</t>
  </si>
  <si>
    <t>Total Equity</t>
  </si>
  <si>
    <r>
      <t>Tax Rate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</si>
  <si>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</si>
  <si>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</si>
  <si>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</si>
  <si>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Beta</t>
    </r>
    <r>
      <rPr>
        <vertAlign val="superscript"/>
        <sz val="11"/>
        <color theme="1"/>
        <rFont val="Calibri"/>
        <family val="2"/>
        <scheme val="minor"/>
      </rPr>
      <t xml:space="preserve"> 3</t>
    </r>
  </si>
  <si>
    <t>India</t>
  </si>
  <si>
    <t>Average</t>
  </si>
  <si>
    <t>Cost of Debt</t>
  </si>
  <si>
    <t>Cost of Equity</t>
  </si>
  <si>
    <t>Pre- Tax Cost of Debt</t>
  </si>
  <si>
    <t>Risk Free Rate</t>
  </si>
  <si>
    <t>Tax Rate</t>
  </si>
  <si>
    <t>Equity Risk Premium</t>
  </si>
  <si>
    <t>Post Tax Cost of Debt</t>
  </si>
  <si>
    <r>
      <t>Levered Beta</t>
    </r>
    <r>
      <rPr>
        <vertAlign val="superscript"/>
        <sz val="11"/>
        <color theme="1"/>
        <rFont val="Calibri"/>
        <family val="2"/>
        <scheme val="minor"/>
      </rPr>
      <t xml:space="preserve"> 4</t>
    </r>
  </si>
  <si>
    <t>Capital Structure</t>
  </si>
  <si>
    <t>Levered Beta</t>
  </si>
  <si>
    <t xml:space="preserve">Current </t>
  </si>
  <si>
    <t>Target</t>
  </si>
  <si>
    <t>Comps  medan Unlevered Beta</t>
  </si>
  <si>
    <t>Target Debt / Equity</t>
  </si>
  <si>
    <t>Total Capital</t>
  </si>
  <si>
    <t>Debt / Equity</t>
  </si>
  <si>
    <t>Notes:</t>
  </si>
  <si>
    <t>Cost of equity</t>
  </si>
  <si>
    <t xml:space="preserve">1. Tax Rate cosidered on Marginal Tax Rate for the country </t>
  </si>
  <si>
    <t>2. Levered Beta ia based on 5 year monthly data</t>
  </si>
  <si>
    <t>3. Unlevered Beta = Levered Beta/(1+(1-Tax Rate)*Debt/Equity</t>
  </si>
  <si>
    <t>4. Levered Beta = Unlevered Beta*(1+(1-Tax Rate)*Debt/Equity</t>
  </si>
  <si>
    <t>WACC</t>
  </si>
  <si>
    <t>Nestle India</t>
  </si>
  <si>
    <t>Dabur India</t>
  </si>
  <si>
    <t>Beta Drifting</t>
  </si>
  <si>
    <t>Date</t>
  </si>
  <si>
    <t>Return</t>
  </si>
  <si>
    <t>Levered Raw Beta</t>
  </si>
  <si>
    <t>Raw Beta weight</t>
  </si>
  <si>
    <t>Closing Price</t>
  </si>
  <si>
    <t>Market Beta</t>
  </si>
  <si>
    <t>Market Beta Weight</t>
  </si>
  <si>
    <t>Adjusted Beta</t>
  </si>
  <si>
    <t>X Variable 1</t>
  </si>
  <si>
    <t>Adj Close </t>
  </si>
  <si>
    <t>NIFTY Monthly Returns</t>
  </si>
  <si>
    <t>Beta Calculation</t>
  </si>
  <si>
    <t xml:space="preserve">Beta </t>
  </si>
  <si>
    <t>Hatsun Agro Product Limited (HATSUN.BO)</t>
  </si>
  <si>
    <t>Dabur India Limited (DABUR.BO)</t>
  </si>
  <si>
    <t>Heritage Foods Limited (HERITGFOOD.BO)</t>
  </si>
  <si>
    <t>Tata Consumer Products Limited (TATACONSUM.BO)</t>
  </si>
  <si>
    <t>vb</t>
  </si>
  <si>
    <t>nifty</t>
  </si>
  <si>
    <t>b</t>
  </si>
  <si>
    <t>nes</t>
  </si>
  <si>
    <t>S.No.</t>
  </si>
  <si>
    <t>Name</t>
  </si>
  <si>
    <t>CMP Rs.</t>
  </si>
  <si>
    <t>Debt Rs.Cr.</t>
  </si>
  <si>
    <t>Debt / Eq</t>
  </si>
  <si>
    <t xml:space="preserve">Mar Cap Rs.Cr. </t>
  </si>
  <si>
    <t>Varun Beverages</t>
  </si>
  <si>
    <t>Tata Consumer</t>
  </si>
  <si>
    <t>Hatsun Agro</t>
  </si>
  <si>
    <t>Heritage Foods</t>
  </si>
  <si>
    <t>Annual</t>
  </si>
  <si>
    <t>Average return</t>
  </si>
  <si>
    <t>Total Market Yield</t>
  </si>
  <si>
    <t>Dividend Yield</t>
  </si>
  <si>
    <r>
      <t xml:space="preserve">1.24% </t>
    </r>
    <r>
      <rPr>
        <vertAlign val="superscript"/>
        <sz val="11"/>
        <color theme="1"/>
        <rFont val="Calibri"/>
        <family val="2"/>
        <scheme val="minor"/>
      </rPr>
      <t>1</t>
    </r>
  </si>
  <si>
    <t>Equity Weight</t>
  </si>
  <si>
    <t>Debt Weight</t>
  </si>
  <si>
    <t>less: Reinvestment Rate</t>
  </si>
  <si>
    <t>Free Cash Flow to Firm (FCFF)</t>
  </si>
  <si>
    <t>Mid Year Convention</t>
  </si>
  <si>
    <t>Discounting Factor</t>
  </si>
  <si>
    <t xml:space="preserve">Pv of FCFF </t>
  </si>
  <si>
    <t>Expected Growth</t>
  </si>
  <si>
    <t>Terminal Growth</t>
  </si>
  <si>
    <t>Sensitivity Analysisi</t>
  </si>
  <si>
    <t>Calculation of Terminal Value</t>
  </si>
  <si>
    <t>FCFF(n+1)</t>
  </si>
  <si>
    <t>Terminal Growth Rate</t>
  </si>
  <si>
    <t>Terminal Value</t>
  </si>
  <si>
    <t>Calculation of Equity Value Per Share</t>
  </si>
  <si>
    <t>Pv of FCFF</t>
  </si>
  <si>
    <t>PV of Terminal Value</t>
  </si>
  <si>
    <t>Value of Operating assets/ enterprise Value</t>
  </si>
  <si>
    <t>Add : cash</t>
  </si>
  <si>
    <t>less: Debt</t>
  </si>
  <si>
    <t>No. of Shares</t>
  </si>
  <si>
    <t>Equity value per share</t>
  </si>
  <si>
    <t>Share Price</t>
  </si>
  <si>
    <t>Discount/ Primium</t>
  </si>
  <si>
    <t>Figures/ Amount in crores</t>
  </si>
  <si>
    <t xml:space="preserve"> </t>
  </si>
  <si>
    <t>Market Data</t>
  </si>
  <si>
    <t>Financials</t>
  </si>
  <si>
    <t>Valuations</t>
  </si>
  <si>
    <t>Company</t>
  </si>
  <si>
    <t>Ticker</t>
  </si>
  <si>
    <t>Share Outstanding</t>
  </si>
  <si>
    <t>Equity Value</t>
  </si>
  <si>
    <t>Net Debt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</si>
  <si>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</si>
  <si>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</si>
  <si>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</si>
  <si>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</si>
  <si>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</si>
  <si>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</si>
  <si>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</si>
  <si>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</si>
  <si>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</si>
  <si>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</si>
  <si>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Implied Enterprise Value</t>
  </si>
  <si>
    <t>Implied market Value</t>
  </si>
  <si>
    <t>Shares Outstanding</t>
  </si>
  <si>
    <t>Implied value Per share</t>
  </si>
  <si>
    <t>No. Eq. Shares Cr.</t>
  </si>
  <si>
    <t>EV Rs.Cr.</t>
  </si>
  <si>
    <t>Cash End Rs.Cr.</t>
  </si>
  <si>
    <t>Sales Rs.Cr.</t>
  </si>
  <si>
    <t>EBIT 12M Rs.Cr.</t>
  </si>
  <si>
    <t>Dep 12M Rs.Cr.</t>
  </si>
  <si>
    <t>NP 12M Rs.Cr.</t>
  </si>
  <si>
    <t>United Spirits</t>
  </si>
  <si>
    <t>United Breweries</t>
  </si>
  <si>
    <t>Radico Khaitan</t>
  </si>
  <si>
    <t>Allied Blenders</t>
  </si>
  <si>
    <t>Tilaknagar Inds.</t>
  </si>
  <si>
    <t>India Glycols</t>
  </si>
  <si>
    <t>Piccadily Agro</t>
  </si>
  <si>
    <t>Globus Spirits</t>
  </si>
  <si>
    <t>Som Distilleries</t>
  </si>
  <si>
    <t>Sula Vineyards</t>
  </si>
  <si>
    <t>Assoc.Alcohols</t>
  </si>
  <si>
    <t>G M Breweries</t>
  </si>
  <si>
    <t>BCL Industries</t>
  </si>
  <si>
    <t>Jagatjit Inds.</t>
  </si>
  <si>
    <t>IFB Agro Inds.</t>
  </si>
  <si>
    <t>FratelliVineyard</t>
  </si>
  <si>
    <t>Cupid Breweries</t>
  </si>
  <si>
    <t>Comfort Intech</t>
  </si>
  <si>
    <t>Agribio Spirits</t>
  </si>
  <si>
    <t>Tahmar Enterp.</t>
  </si>
  <si>
    <t>Shri Gang Indus</t>
  </si>
  <si>
    <t>Aurangabad Dist.</t>
  </si>
  <si>
    <t>Suraj Industries</t>
  </si>
  <si>
    <t>Kati patang Life</t>
  </si>
  <si>
    <t>Market Capitaization</t>
  </si>
  <si>
    <t>EV</t>
  </si>
  <si>
    <t>Varun Beverages Comparable  Valuation</t>
  </si>
  <si>
    <t>source : Screener.in</t>
  </si>
  <si>
    <t>THE</t>
  </si>
  <si>
    <t>VALUATION</t>
  </si>
  <si>
    <t>SCHOOL</t>
  </si>
  <si>
    <t>Football Field Ananlysis- Data</t>
  </si>
  <si>
    <t>OpenLow</t>
  </si>
  <si>
    <t>OpenHigh</t>
  </si>
  <si>
    <t>Comps</t>
  </si>
  <si>
    <t>DCF Bear</t>
  </si>
  <si>
    <t>DCF Base</t>
  </si>
  <si>
    <t>DCF Bull</t>
  </si>
  <si>
    <t>52W High/ Low</t>
  </si>
  <si>
    <r>
      <t>VBL.NS</t>
    </r>
    <r>
      <rPr>
        <sz val="11"/>
        <color theme="1"/>
        <rFont val="Calibri"/>
        <family val="2"/>
        <scheme val="minor"/>
      </rPr>
      <t xml:space="preserve"> (NSE: VBL)</t>
    </r>
  </si>
  <si>
    <r>
      <t>SDBL.NS</t>
    </r>
    <r>
      <rPr>
        <sz val="11"/>
        <color theme="1"/>
        <rFont val="Calibri"/>
        <family val="2"/>
        <scheme val="minor"/>
      </rPr>
      <t xml:space="preserve"> (NSE: SDBL)</t>
    </r>
  </si>
  <si>
    <r>
      <t>UNSP.NS</t>
    </r>
    <r>
      <rPr>
        <sz val="11"/>
        <color theme="1"/>
        <rFont val="Calibri"/>
        <family val="2"/>
        <scheme val="minor"/>
      </rPr>
      <t xml:space="preserve"> (NSE: UNSP)</t>
    </r>
  </si>
  <si>
    <t>UBL.NS</t>
  </si>
  <si>
    <t>RADICO.NS</t>
  </si>
  <si>
    <r>
      <t>ABDL.NS</t>
    </r>
    <r>
      <rPr>
        <sz val="11"/>
        <color theme="1"/>
        <rFont val="Calibri"/>
        <family val="2"/>
        <scheme val="minor"/>
      </rPr>
      <t xml:space="preserve"> (NSE: ABDL)</t>
    </r>
  </si>
  <si>
    <r>
      <t>TI.NS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TILK.NS</t>
    </r>
  </si>
  <si>
    <t>INDIAGLYCO.NS</t>
  </si>
  <si>
    <t>PICCADIL.NS</t>
  </si>
  <si>
    <t>GLOBUSSPR.NS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</si>
</sst>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&quot;$&quot;#,##0.0;\(&quot;$&quot;#,##0.00\);\-"/>
    <numFmt numFmtId="167" formatCode="0.0%"/>
    <numFmt numFmtId="168" formatCode="&quot;$&quot;#,##0.00"/>
    <numFmt numFmtId="169" formatCode="0.00&quot;x&quot;"/>
    <numFmt numFmtId="170" formatCode="0&quot; days&quot;"/>
    <numFmt numFmtId="171" formatCode="#,##0.00;\(#,##0.00\);\-"/>
    <numFmt numFmtId="172" formatCode="#,##0.0;\(#,##0.0\);\-"/>
    <numFmt numFmtId="173" formatCode="#,##0.0"/>
    <numFmt numFmtId="174" formatCode="0&quot;A&quot;"/>
    <numFmt numFmtId="175" formatCode="0&quot;E&quot;"/>
    <numFmt numFmtId="176" formatCode="yyyy&quot;A&quot;"/>
    <numFmt numFmtId="177" formatCode="yyyy&quot;E&quot;"/>
    <numFmt numFmtId="178" formatCode="mmm\-yy&quot;A&quot;"/>
    <numFmt numFmtId="179" formatCode="mmm\-yy&quot;E&quot;"/>
    <numFmt numFmtId="180" formatCode="#,##0.000;\(#,##0.000\);\-"/>
    <numFmt numFmtId="181" formatCode="0&quot;x&quot;"/>
    <numFmt numFmtId="182" formatCode="#,##0.0\x"/>
    <numFmt numFmtId="183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F"/>
      <name val="Calibri"/>
      <family val="2"/>
      <scheme val="minor"/>
    </font>
    <font>
      <b/>
      <sz val="11"/>
      <color rgb="FF22222F"/>
      <name val="Calibri"/>
      <family val="2"/>
      <scheme val="minor"/>
    </font>
    <font>
      <i/>
      <sz val="11"/>
      <color rgb="FF3366F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rgb="FF0000FF"/>
      <name val="Arial"/>
      <family val="2"/>
    </font>
    <font>
      <sz val="11"/>
      <color theme="1" tint="0.499984740745262"/>
      <name val="Arial"/>
      <family val="2"/>
    </font>
    <font>
      <sz val="11"/>
      <color theme="2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249977111117893"/>
      <name val="Arial"/>
      <family val="2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Araial"/>
    </font>
    <font>
      <sz val="11"/>
      <color rgb="FF232A3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2" tint="-0.249977111117893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theme="7" tint="-0.24994659260841701"/>
      </top>
      <bottom style="hair">
        <color theme="7" tint="-0.24994659260841701"/>
      </bottom>
      <diagonal/>
    </border>
    <border>
      <left/>
      <right/>
      <top/>
      <bottom style="thin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theme="7" tint="-0.2499465926084170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theme="7" tint="-0.24994659260841701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/>
    <xf numFmtId="164" fontId="3" fillId="0" borderId="0" xfId="1" applyFont="1" applyBorder="1"/>
    <xf numFmtId="164" fontId="0" fillId="0" borderId="0" xfId="1" applyFont="1" applyBorder="1"/>
    <xf numFmtId="165" fontId="2" fillId="3" borderId="0" xfId="1" applyNumberFormat="1" applyFont="1" applyFill="1" applyBorder="1"/>
    <xf numFmtId="165" fontId="2" fillId="3" borderId="0" xfId="0" applyNumberFormat="1" applyFont="1" applyFill="1" applyBorder="1" applyAlignment="1">
      <alignment horizontal="center"/>
    </xf>
    <xf numFmtId="165" fontId="6" fillId="0" borderId="0" xfId="1" applyNumberFormat="1" applyFont="1" applyFill="1" applyBorder="1"/>
    <xf numFmtId="164" fontId="1" fillId="0" borderId="0" xfId="1" applyFont="1" applyBorder="1"/>
    <xf numFmtId="43" fontId="0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17" fontId="0" fillId="0" borderId="0" xfId="0" applyNumberFormat="1"/>
    <xf numFmtId="0" fontId="0" fillId="0" borderId="0" xfId="0" applyFill="1"/>
    <xf numFmtId="0" fontId="2" fillId="0" borderId="0" xfId="0" applyFont="1" applyFill="1"/>
    <xf numFmtId="17" fontId="2" fillId="0" borderId="0" xfId="0" applyNumberFormat="1" applyFont="1" applyFill="1"/>
    <xf numFmtId="17" fontId="2" fillId="0" borderId="0" xfId="0" applyNumberFormat="1" applyFont="1" applyFill="1" applyAlignment="1">
      <alignment horizontal="right"/>
    </xf>
    <xf numFmtId="17" fontId="0" fillId="0" borderId="0" xfId="0" applyNumberFormat="1" applyFill="1"/>
    <xf numFmtId="0" fontId="0" fillId="5" borderId="0" xfId="0" applyFill="1"/>
    <xf numFmtId="166" fontId="0" fillId="0" borderId="0" xfId="0" applyNumberFormat="1"/>
    <xf numFmtId="0" fontId="7" fillId="0" borderId="0" xfId="0" applyFont="1"/>
    <xf numFmtId="167" fontId="7" fillId="0" borderId="0" xfId="2" applyNumberFormat="1" applyFont="1" applyAlignment="1">
      <alignment horizontal="right"/>
    </xf>
    <xf numFmtId="10" fontId="7" fillId="0" borderId="0" xfId="2" applyNumberFormat="1" applyFont="1"/>
    <xf numFmtId="168" fontId="0" fillId="0" borderId="0" xfId="0" applyNumberFormat="1"/>
    <xf numFmtId="10" fontId="7" fillId="0" borderId="0" xfId="2" applyNumberFormat="1" applyFont="1" applyAlignment="1">
      <alignment horizontal="right"/>
    </xf>
    <xf numFmtId="0" fontId="3" fillId="0" borderId="1" xfId="0" applyFont="1" applyBorder="1"/>
    <xf numFmtId="168" fontId="3" fillId="0" borderId="1" xfId="0" applyNumberFormat="1" applyFont="1" applyBorder="1"/>
    <xf numFmtId="0" fontId="3" fillId="0" borderId="2" xfId="0" applyFont="1" applyBorder="1"/>
    <xf numFmtId="168" fontId="3" fillId="0" borderId="2" xfId="0" applyNumberFormat="1" applyFont="1" applyBorder="1"/>
    <xf numFmtId="10" fontId="0" fillId="0" borderId="0" xfId="2" applyNumberFormat="1" applyFont="1"/>
    <xf numFmtId="166" fontId="3" fillId="0" borderId="1" xfId="0" applyNumberFormat="1" applyFont="1" applyBorder="1"/>
    <xf numFmtId="0" fontId="3" fillId="0" borderId="0" xfId="0" applyFont="1"/>
    <xf numFmtId="166" fontId="3" fillId="0" borderId="0" xfId="0" applyNumberFormat="1" applyFont="1"/>
    <xf numFmtId="0" fontId="0" fillId="6" borderId="0" xfId="0" applyFill="1"/>
    <xf numFmtId="0" fontId="3" fillId="5" borderId="0" xfId="0" applyFont="1" applyFill="1"/>
    <xf numFmtId="0" fontId="0" fillId="0" borderId="0" xfId="0" applyFont="1"/>
    <xf numFmtId="166" fontId="0" fillId="0" borderId="0" xfId="0" applyNumberFormat="1" applyFont="1"/>
    <xf numFmtId="10" fontId="0" fillId="0" borderId="0" xfId="2" applyNumberFormat="1" applyFont="1" applyFill="1"/>
    <xf numFmtId="166" fontId="0" fillId="0" borderId="0" xfId="0" applyNumberFormat="1" applyBorder="1"/>
    <xf numFmtId="166" fontId="3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3" fontId="0" fillId="0" borderId="0" xfId="0" applyNumberFormat="1"/>
    <xf numFmtId="0" fontId="4" fillId="0" borderId="0" xfId="0" applyFont="1" applyFill="1" applyAlignment="1"/>
    <xf numFmtId="0" fontId="3" fillId="0" borderId="3" xfId="0" applyFont="1" applyBorder="1"/>
    <xf numFmtId="17" fontId="3" fillId="0" borderId="3" xfId="0" applyNumberFormat="1" applyFont="1" applyBorder="1"/>
    <xf numFmtId="10" fontId="3" fillId="0" borderId="0" xfId="2" applyNumberFormat="1" applyFont="1"/>
    <xf numFmtId="10" fontId="1" fillId="0" borderId="0" xfId="2" applyNumberFormat="1" applyFont="1"/>
    <xf numFmtId="17" fontId="2" fillId="4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4" xfId="0" applyBorder="1"/>
    <xf numFmtId="10" fontId="0" fillId="0" borderId="4" xfId="2" applyNumberFormat="1" applyFont="1" applyBorder="1"/>
    <xf numFmtId="10" fontId="0" fillId="0" borderId="5" xfId="2" applyNumberFormat="1" applyFont="1" applyBorder="1"/>
    <xf numFmtId="10" fontId="0" fillId="0" borderId="5" xfId="2" applyNumberFormat="1" applyFont="1" applyBorder="1" applyAlignment="1">
      <alignment horizontal="right"/>
    </xf>
    <xf numFmtId="10" fontId="0" fillId="0" borderId="0" xfId="2" applyNumberFormat="1" applyFont="1" applyBorder="1"/>
    <xf numFmtId="10" fontId="0" fillId="0" borderId="0" xfId="2" applyNumberFormat="1" applyFont="1" applyBorder="1" applyAlignment="1">
      <alignment horizontal="right"/>
    </xf>
    <xf numFmtId="0" fontId="0" fillId="0" borderId="6" xfId="0" applyBorder="1"/>
    <xf numFmtId="10" fontId="0" fillId="0" borderId="6" xfId="2" applyNumberFormat="1" applyFont="1" applyBorder="1"/>
    <xf numFmtId="10" fontId="0" fillId="0" borderId="7" xfId="2" applyNumberFormat="1" applyFont="1" applyBorder="1"/>
    <xf numFmtId="10" fontId="0" fillId="0" borderId="7" xfId="2" applyNumberFormat="1" applyFont="1" applyBorder="1" applyAlignment="1">
      <alignment horizontal="right"/>
    </xf>
    <xf numFmtId="10" fontId="0" fillId="0" borderId="0" xfId="2" applyNumberFormat="1" applyFont="1" applyAlignment="1">
      <alignment horizontal="right"/>
    </xf>
    <xf numFmtId="169" fontId="0" fillId="0" borderId="6" xfId="0" applyNumberFormat="1" applyBorder="1"/>
    <xf numFmtId="169" fontId="0" fillId="0" borderId="7" xfId="0" applyNumberFormat="1" applyBorder="1"/>
    <xf numFmtId="169" fontId="0" fillId="0" borderId="4" xfId="0" applyNumberFormat="1" applyBorder="1"/>
    <xf numFmtId="169" fontId="0" fillId="0" borderId="5" xfId="0" applyNumberFormat="1" applyBorder="1"/>
    <xf numFmtId="169" fontId="0" fillId="0" borderId="0" xfId="0" applyNumberFormat="1" applyBorder="1"/>
    <xf numFmtId="169" fontId="0" fillId="0" borderId="0" xfId="0" applyNumberFormat="1"/>
    <xf numFmtId="0" fontId="8" fillId="0" borderId="0" xfId="0" applyFont="1"/>
    <xf numFmtId="170" fontId="0" fillId="0" borderId="4" xfId="0" applyNumberFormat="1" applyBorder="1"/>
    <xf numFmtId="170" fontId="0" fillId="0" borderId="5" xfId="0" applyNumberFormat="1" applyBorder="1"/>
    <xf numFmtId="170" fontId="0" fillId="0" borderId="0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170" fontId="0" fillId="0" borderId="0" xfId="0" applyNumberFormat="1"/>
    <xf numFmtId="0" fontId="0" fillId="0" borderId="0" xfId="0" applyAlignment="1">
      <alignment horizontal="right"/>
    </xf>
    <xf numFmtId="0" fontId="4" fillId="7" borderId="0" xfId="0" applyFont="1" applyFill="1"/>
    <xf numFmtId="0" fontId="4" fillId="0" borderId="0" xfId="0" applyFont="1" applyFill="1"/>
    <xf numFmtId="17" fontId="4" fillId="0" borderId="0" xfId="0" applyNumberFormat="1" applyFont="1" applyFill="1"/>
    <xf numFmtId="171" fontId="9" fillId="8" borderId="8" xfId="0" applyNumberFormat="1" applyFont="1" applyFill="1" applyBorder="1" applyAlignment="1">
      <alignment horizontal="right" wrapText="1" indent="1"/>
    </xf>
    <xf numFmtId="171" fontId="9" fillId="8" borderId="10" xfId="0" applyNumberFormat="1" applyFont="1" applyFill="1" applyBorder="1" applyAlignment="1">
      <alignment horizontal="right" wrapText="1" indent="1"/>
    </xf>
    <xf numFmtId="171" fontId="10" fillId="8" borderId="10" xfId="0" applyNumberFormat="1" applyFont="1" applyFill="1" applyBorder="1" applyAlignment="1">
      <alignment horizontal="right" wrapText="1" indent="1"/>
    </xf>
    <xf numFmtId="171" fontId="9" fillId="8" borderId="0" xfId="0" applyNumberFormat="1" applyFont="1" applyFill="1" applyBorder="1" applyAlignment="1">
      <alignment horizontal="right" wrapText="1" indent="1"/>
    </xf>
    <xf numFmtId="171" fontId="9" fillId="8" borderId="11" xfId="0" applyNumberFormat="1" applyFont="1" applyFill="1" applyBorder="1" applyAlignment="1">
      <alignment horizontal="right" wrapText="1" indent="1"/>
    </xf>
    <xf numFmtId="171" fontId="10" fillId="8" borderId="9" xfId="0" applyNumberFormat="1" applyFont="1" applyFill="1" applyBorder="1" applyAlignment="1">
      <alignment horizontal="right" wrapText="1" indent="1"/>
    </xf>
    <xf numFmtId="0" fontId="10" fillId="8" borderId="9" xfId="0" applyFont="1" applyFill="1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4" fillId="7" borderId="13" xfId="0" applyFont="1" applyFill="1" applyBorder="1"/>
    <xf numFmtId="17" fontId="4" fillId="7" borderId="13" xfId="0" applyNumberFormat="1" applyFont="1" applyFill="1" applyBorder="1"/>
    <xf numFmtId="0" fontId="0" fillId="0" borderId="13" xfId="0" applyBorder="1"/>
    <xf numFmtId="0" fontId="2" fillId="7" borderId="0" xfId="0" applyFont="1" applyFill="1" applyAlignment="1"/>
    <xf numFmtId="17" fontId="2" fillId="7" borderId="0" xfId="0" applyNumberFormat="1" applyFont="1" applyFill="1" applyAlignment="1">
      <alignment horizontal="right" vertical="center" wrapText="1" indent="1"/>
    </xf>
    <xf numFmtId="0" fontId="0" fillId="0" borderId="1" xfId="0" applyBorder="1"/>
    <xf numFmtId="172" fontId="0" fillId="0" borderId="1" xfId="0" applyNumberFormat="1" applyBorder="1"/>
    <xf numFmtId="0" fontId="3" fillId="0" borderId="11" xfId="0" applyFont="1" applyBorder="1"/>
    <xf numFmtId="172" fontId="3" fillId="0" borderId="11" xfId="0" applyNumberFormat="1" applyFont="1" applyBorder="1"/>
    <xf numFmtId="172" fontId="0" fillId="0" borderId="0" xfId="0" applyNumberFormat="1"/>
    <xf numFmtId="0" fontId="3" fillId="0" borderId="15" xfId="0" applyFont="1" applyBorder="1"/>
    <xf numFmtId="172" fontId="3" fillId="0" borderId="15" xfId="0" applyNumberFormat="1" applyFont="1" applyBorder="1"/>
    <xf numFmtId="172" fontId="0" fillId="0" borderId="4" xfId="0" applyNumberFormat="1" applyBorder="1"/>
    <xf numFmtId="0" fontId="0" fillId="0" borderId="0" xfId="0" applyFont="1" applyBorder="1"/>
    <xf numFmtId="172" fontId="0" fillId="0" borderId="0" xfId="0" applyNumberFormat="1" applyBorder="1"/>
    <xf numFmtId="0" fontId="0" fillId="0" borderId="15" xfId="0" applyBorder="1"/>
    <xf numFmtId="10" fontId="3" fillId="0" borderId="15" xfId="2" applyNumberFormat="1" applyFont="1" applyBorder="1"/>
    <xf numFmtId="0" fontId="0" fillId="0" borderId="8" xfId="0" applyBorder="1"/>
    <xf numFmtId="171" fontId="0" fillId="0" borderId="8" xfId="0" applyNumberFormat="1" applyBorder="1"/>
    <xf numFmtId="10" fontId="11" fillId="0" borderId="8" xfId="0" applyNumberFormat="1" applyFont="1" applyBorder="1"/>
    <xf numFmtId="171" fontId="0" fillId="0" borderId="0" xfId="0" applyNumberFormat="1"/>
    <xf numFmtId="0" fontId="3" fillId="0" borderId="16" xfId="0" applyFont="1" applyBorder="1"/>
    <xf numFmtId="171" fontId="3" fillId="0" borderId="16" xfId="0" applyNumberFormat="1" applyFont="1" applyBorder="1"/>
    <xf numFmtId="10" fontId="0" fillId="0" borderId="8" xfId="0" applyNumberFormat="1" applyBorder="1"/>
    <xf numFmtId="0" fontId="2" fillId="0" borderId="0" xfId="0" applyFont="1" applyFill="1" applyAlignment="1"/>
    <xf numFmtId="171" fontId="0" fillId="0" borderId="0" xfId="0" applyNumberFormat="1" applyBorder="1"/>
    <xf numFmtId="171" fontId="3" fillId="10" borderId="0" xfId="0" applyNumberFormat="1" applyFont="1" applyFill="1"/>
    <xf numFmtId="0" fontId="12" fillId="7" borderId="0" xfId="0" applyFont="1" applyFill="1"/>
    <xf numFmtId="173" fontId="13" fillId="7" borderId="0" xfId="0" applyNumberFormat="1" applyFont="1" applyFill="1" applyAlignment="1">
      <alignment horizontal="right" wrapText="1" indent="1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174" fontId="0" fillId="0" borderId="0" xfId="0" applyNumberFormat="1"/>
    <xf numFmtId="173" fontId="14" fillId="8" borderId="0" xfId="0" applyNumberFormat="1" applyFont="1" applyFill="1" applyAlignment="1">
      <alignment horizontal="right" wrapText="1" indent="1"/>
    </xf>
    <xf numFmtId="175" fontId="0" fillId="0" borderId="0" xfId="0" applyNumberFormat="1"/>
    <xf numFmtId="173" fontId="15" fillId="8" borderId="0" xfId="0" applyNumberFormat="1" applyFont="1" applyFill="1" applyAlignment="1">
      <alignment horizontal="right" wrapText="1" indent="1"/>
    </xf>
    <xf numFmtId="10" fontId="16" fillId="0" borderId="0" xfId="2" applyNumberFormat="1" applyFont="1"/>
    <xf numFmtId="0" fontId="17" fillId="0" borderId="17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8" xfId="0" applyFill="1" applyBorder="1" applyAlignment="1"/>
    <xf numFmtId="10" fontId="0" fillId="0" borderId="0" xfId="0" applyNumberFormat="1" applyFill="1"/>
    <xf numFmtId="0" fontId="17" fillId="0" borderId="17" xfId="0" applyFont="1" applyFill="1" applyBorder="1" applyAlignment="1">
      <alignment horizontal="center"/>
    </xf>
    <xf numFmtId="176" fontId="0" fillId="0" borderId="0" xfId="0" applyNumberFormat="1"/>
    <xf numFmtId="173" fontId="0" fillId="0" borderId="0" xfId="0" applyNumberFormat="1"/>
    <xf numFmtId="0" fontId="0" fillId="9" borderId="0" xfId="0" applyFill="1" applyAlignment="1">
      <alignment horizontal="left"/>
    </xf>
    <xf numFmtId="173" fontId="0" fillId="9" borderId="0" xfId="0" applyNumberFormat="1" applyFill="1"/>
    <xf numFmtId="10" fontId="0" fillId="9" borderId="0" xfId="2" applyNumberFormat="1" applyFont="1" applyFill="1"/>
    <xf numFmtId="0" fontId="17" fillId="9" borderId="0" xfId="0" applyFont="1" applyFill="1" applyAlignment="1">
      <alignment horizontal="left"/>
    </xf>
    <xf numFmtId="177" fontId="17" fillId="9" borderId="0" xfId="0" applyNumberFormat="1" applyFont="1" applyFill="1"/>
    <xf numFmtId="10" fontId="17" fillId="9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/>
    <xf numFmtId="173" fontId="18" fillId="8" borderId="0" xfId="0" applyNumberFormat="1" applyFont="1" applyFill="1" applyAlignment="1">
      <alignment horizontal="right" wrapText="1" indent="1"/>
    </xf>
    <xf numFmtId="0" fontId="3" fillId="11" borderId="0" xfId="0" applyFont="1" applyFill="1"/>
    <xf numFmtId="0" fontId="19" fillId="11" borderId="0" xfId="0" applyFont="1" applyFill="1"/>
    <xf numFmtId="0" fontId="3" fillId="0" borderId="0" xfId="0" applyFont="1" applyFill="1"/>
    <xf numFmtId="0" fontId="17" fillId="0" borderId="0" xfId="0" applyFont="1"/>
    <xf numFmtId="0" fontId="17" fillId="0" borderId="0" xfId="0" applyFont="1" applyFill="1"/>
    <xf numFmtId="0" fontId="0" fillId="0" borderId="19" xfId="0" applyBorder="1"/>
    <xf numFmtId="0" fontId="0" fillId="0" borderId="19" xfId="0" applyBorder="1" applyAlignment="1"/>
    <xf numFmtId="0" fontId="0" fillId="0" borderId="13" xfId="0" applyBorder="1" applyAlignment="1">
      <alignment vertical="center"/>
    </xf>
    <xf numFmtId="0" fontId="0" fillId="0" borderId="0" xfId="0" applyFill="1" applyBorder="1"/>
    <xf numFmtId="0" fontId="21" fillId="0" borderId="0" xfId="0" applyFont="1"/>
    <xf numFmtId="10" fontId="21" fillId="0" borderId="0" xfId="2" applyNumberFormat="1" applyFont="1"/>
    <xf numFmtId="10" fontId="0" fillId="12" borderId="0" xfId="2" applyNumberFormat="1" applyFont="1" applyFill="1"/>
    <xf numFmtId="2" fontId="0" fillId="12" borderId="0" xfId="2" applyNumberFormat="1" applyFont="1" applyFill="1"/>
    <xf numFmtId="10" fontId="0" fillId="0" borderId="19" xfId="0" applyNumberFormat="1" applyBorder="1"/>
    <xf numFmtId="2" fontId="0" fillId="0" borderId="19" xfId="0" applyNumberFormat="1" applyBorder="1"/>
    <xf numFmtId="10" fontId="0" fillId="0" borderId="13" xfId="0" applyNumberFormat="1" applyBorder="1"/>
    <xf numFmtId="2" fontId="0" fillId="0" borderId="13" xfId="0" applyNumberFormat="1" applyBorder="1"/>
    <xf numFmtId="0" fontId="3" fillId="0" borderId="13" xfId="0" applyFont="1" applyBorder="1"/>
    <xf numFmtId="10" fontId="22" fillId="0" borderId="0" xfId="0" applyNumberFormat="1" applyFont="1"/>
    <xf numFmtId="10" fontId="0" fillId="0" borderId="0" xfId="0" applyNumberFormat="1" applyFont="1"/>
    <xf numFmtId="10" fontId="0" fillId="12" borderId="4" xfId="0" applyNumberFormat="1" applyFill="1" applyBorder="1"/>
    <xf numFmtId="2" fontId="0" fillId="0" borderId="0" xfId="0" applyNumberFormat="1"/>
    <xf numFmtId="0" fontId="3" fillId="0" borderId="13" xfId="0" applyFont="1" applyBorder="1" applyAlignment="1">
      <alignment horizontal="right"/>
    </xf>
    <xf numFmtId="10" fontId="0" fillId="0" borderId="0" xfId="0" applyNumberFormat="1"/>
    <xf numFmtId="9" fontId="0" fillId="0" borderId="0" xfId="0" applyNumberFormat="1"/>
    <xf numFmtId="173" fontId="0" fillId="0" borderId="4" xfId="0" applyNumberFormat="1" applyBorder="1"/>
    <xf numFmtId="2" fontId="0" fillId="12" borderId="4" xfId="0" applyNumberFormat="1" applyFill="1" applyBorder="1"/>
    <xf numFmtId="0" fontId="23" fillId="0" borderId="0" xfId="0" applyFont="1" applyAlignment="1">
      <alignment vertical="top"/>
    </xf>
    <xf numFmtId="0" fontId="3" fillId="0" borderId="0" xfId="0" applyFont="1" applyBorder="1" applyAlignment="1">
      <alignment horizontal="right"/>
    </xf>
    <xf numFmtId="10" fontId="3" fillId="0" borderId="0" xfId="0" applyNumberFormat="1" applyFont="1" applyBorder="1" applyAlignment="1">
      <alignment horizontal="right"/>
    </xf>
    <xf numFmtId="10" fontId="0" fillId="0" borderId="0" xfId="0" applyNumberFormat="1" applyBorder="1"/>
    <xf numFmtId="10" fontId="0" fillId="0" borderId="0" xfId="2" applyNumberFormat="1" applyFont="1" applyFill="1" applyBorder="1"/>
    <xf numFmtId="0" fontId="3" fillId="13" borderId="0" xfId="0" applyFont="1" applyFill="1"/>
    <xf numFmtId="10" fontId="3" fillId="13" borderId="0" xfId="2" applyNumberFormat="1" applyFont="1" applyFill="1"/>
    <xf numFmtId="2" fontId="21" fillId="0" borderId="0" xfId="0" applyNumberFormat="1" applyFont="1"/>
    <xf numFmtId="0" fontId="24" fillId="0" borderId="0" xfId="0" applyFont="1" applyAlignment="1">
      <alignment vertical="top"/>
    </xf>
    <xf numFmtId="0" fontId="0" fillId="0" borderId="0" xfId="0" applyAlignment="1">
      <alignment horizontal="center"/>
    </xf>
    <xf numFmtId="17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4" fontId="0" fillId="0" borderId="0" xfId="0" applyNumberFormat="1"/>
    <xf numFmtId="4" fontId="0" fillId="0" borderId="0" xfId="0" applyNumberFormat="1"/>
    <xf numFmtId="0" fontId="25" fillId="0" borderId="0" xfId="0" applyFont="1" applyAlignment="1">
      <alignment wrapText="1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15" fontId="0" fillId="0" borderId="0" xfId="0" applyNumberFormat="1" applyAlignment="1">
      <alignment horizontal="left"/>
    </xf>
    <xf numFmtId="15" fontId="27" fillId="0" borderId="0" xfId="0" applyNumberFormat="1" applyFont="1" applyAlignment="1">
      <alignment horizontal="left"/>
    </xf>
    <xf numFmtId="0" fontId="27" fillId="0" borderId="0" xfId="0" applyFont="1" applyAlignment="1">
      <alignment horizontal="right"/>
    </xf>
    <xf numFmtId="4" fontId="2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0" fillId="0" borderId="0" xfId="2" applyNumberFormat="1" applyFont="1"/>
    <xf numFmtId="0" fontId="0" fillId="9" borderId="0" xfId="0" applyFill="1"/>
    <xf numFmtId="2" fontId="0" fillId="9" borderId="0" xfId="0" applyNumberForma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1" fillId="0" borderId="0" xfId="0" applyFont="1" applyFill="1"/>
    <xf numFmtId="0" fontId="0" fillId="0" borderId="0" xfId="0" applyBorder="1" applyAlignment="1">
      <alignment vertical="center"/>
    </xf>
    <xf numFmtId="10" fontId="0" fillId="0" borderId="0" xfId="0" applyNumberFormat="1" applyAlignment="1">
      <alignment horizontal="right"/>
    </xf>
    <xf numFmtId="10" fontId="3" fillId="13" borderId="0" xfId="0" applyNumberFormat="1" applyFont="1" applyFill="1" applyAlignment="1">
      <alignment horizontal="right"/>
    </xf>
    <xf numFmtId="0" fontId="2" fillId="7" borderId="0" xfId="0" applyFont="1" applyFill="1"/>
    <xf numFmtId="178" fontId="2" fillId="7" borderId="0" xfId="0" applyNumberFormat="1" applyFont="1" applyFill="1"/>
    <xf numFmtId="10" fontId="21" fillId="12" borderId="8" xfId="0" applyNumberFormat="1" applyFont="1" applyFill="1" applyBorder="1"/>
    <xf numFmtId="0" fontId="0" fillId="12" borderId="8" xfId="0" applyFill="1" applyBorder="1"/>
    <xf numFmtId="10" fontId="0" fillId="0" borderId="8" xfId="2" applyNumberFormat="1" applyFont="1" applyBorder="1"/>
    <xf numFmtId="0" fontId="21" fillId="0" borderId="8" xfId="0" applyFont="1" applyBorder="1"/>
    <xf numFmtId="0" fontId="0" fillId="12" borderId="0" xfId="0" applyFill="1"/>
    <xf numFmtId="0" fontId="3" fillId="12" borderId="16" xfId="0" applyFont="1" applyFill="1" applyBorder="1"/>
    <xf numFmtId="0" fontId="0" fillId="13" borderId="0" xfId="0" applyFill="1"/>
    <xf numFmtId="10" fontId="0" fillId="13" borderId="0" xfId="0" applyNumberFormat="1" applyFill="1"/>
    <xf numFmtId="2" fontId="28" fillId="0" borderId="0" xfId="0" applyNumberFormat="1" applyFont="1"/>
    <xf numFmtId="10" fontId="3" fillId="0" borderId="0" xfId="0" applyNumberFormat="1" applyFont="1"/>
    <xf numFmtId="0" fontId="3" fillId="0" borderId="16" xfId="0" applyNumberFormat="1" applyFont="1" applyFill="1" applyBorder="1"/>
    <xf numFmtId="0" fontId="3" fillId="0" borderId="16" xfId="0" applyNumberFormat="1" applyFont="1" applyBorder="1"/>
    <xf numFmtId="2" fontId="3" fillId="0" borderId="16" xfId="0" applyNumberFormat="1" applyFont="1" applyBorder="1"/>
    <xf numFmtId="9" fontId="0" fillId="0" borderId="0" xfId="2" applyFont="1"/>
    <xf numFmtId="179" fontId="2" fillId="7" borderId="0" xfId="0" applyNumberFormat="1" applyFont="1" applyFill="1"/>
    <xf numFmtId="9" fontId="3" fillId="10" borderId="0" xfId="2" applyFont="1" applyFill="1"/>
    <xf numFmtId="10" fontId="3" fillId="10" borderId="0" xfId="2" applyNumberFormat="1" applyFont="1" applyFill="1"/>
    <xf numFmtId="9" fontId="3" fillId="0" borderId="16" xfId="2" applyFont="1" applyBorder="1"/>
    <xf numFmtId="10" fontId="3" fillId="0" borderId="16" xfId="2" applyNumberFormat="1" applyFont="1" applyBorder="1"/>
    <xf numFmtId="9" fontId="0" fillId="0" borderId="8" xfId="2" applyFont="1" applyBorder="1"/>
    <xf numFmtId="172" fontId="0" fillId="12" borderId="8" xfId="0" applyNumberFormat="1" applyFill="1" applyBorder="1"/>
    <xf numFmtId="172" fontId="0" fillId="0" borderId="8" xfId="0" applyNumberFormat="1" applyBorder="1"/>
    <xf numFmtId="172" fontId="3" fillId="0" borderId="16" xfId="0" applyNumberFormat="1" applyFont="1" applyBorder="1"/>
    <xf numFmtId="180" fontId="0" fillId="0" borderId="8" xfId="0" applyNumberFormat="1" applyBorder="1"/>
    <xf numFmtId="172" fontId="3" fillId="0" borderId="0" xfId="0" applyNumberFormat="1" applyFont="1" applyBorder="1"/>
    <xf numFmtId="181" fontId="0" fillId="0" borderId="0" xfId="0" applyNumberFormat="1"/>
    <xf numFmtId="0" fontId="2" fillId="0" borderId="0" xfId="0" applyFont="1" applyFill="1" applyAlignment="1">
      <alignment horizontal="left" indent="2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7" borderId="0" xfId="0" applyFont="1" applyFill="1" applyBorder="1" applyAlignment="1"/>
    <xf numFmtId="0" fontId="2" fillId="7" borderId="20" xfId="0" applyFont="1" applyFill="1" applyBorder="1" applyAlignment="1"/>
    <xf numFmtId="0" fontId="2" fillId="7" borderId="20" xfId="0" applyFont="1" applyFill="1" applyBorder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right" wrapText="1"/>
    </xf>
    <xf numFmtId="0" fontId="2" fillId="7" borderId="0" xfId="0" applyFont="1" applyFill="1" applyAlignment="1">
      <alignment horizontal="right"/>
    </xf>
    <xf numFmtId="0" fontId="3" fillId="9" borderId="1" xfId="0" applyFont="1" applyFill="1" applyBorder="1"/>
    <xf numFmtId="3" fontId="3" fillId="9" borderId="1" xfId="0" applyNumberFormat="1" applyFont="1" applyFill="1" applyBorder="1"/>
    <xf numFmtId="4" fontId="3" fillId="9" borderId="1" xfId="0" applyNumberFormat="1" applyFont="1" applyFill="1" applyBorder="1"/>
    <xf numFmtId="0" fontId="0" fillId="9" borderId="1" xfId="0" applyFill="1" applyBorder="1"/>
    <xf numFmtId="182" fontId="0" fillId="9" borderId="1" xfId="0" applyNumberFormat="1" applyFill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82" fontId="0" fillId="0" borderId="1" xfId="0" applyNumberFormat="1" applyBorder="1"/>
    <xf numFmtId="0" fontId="0" fillId="9" borderId="21" xfId="0" applyFill="1" applyBorder="1"/>
    <xf numFmtId="182" fontId="0" fillId="9" borderId="21" xfId="0" applyNumberFormat="1" applyFill="1" applyBorder="1"/>
    <xf numFmtId="0" fontId="3" fillId="9" borderId="21" xfId="0" applyFont="1" applyFill="1" applyBorder="1"/>
    <xf numFmtId="182" fontId="3" fillId="9" borderId="21" xfId="0" applyNumberFormat="1" applyFont="1" applyFill="1" applyBorder="1"/>
    <xf numFmtId="0" fontId="0" fillId="0" borderId="9" xfId="0" applyBorder="1"/>
    <xf numFmtId="3" fontId="0" fillId="0" borderId="9" xfId="0" applyNumberFormat="1" applyBorder="1"/>
    <xf numFmtId="4" fontId="0" fillId="0" borderId="9" xfId="0" applyNumberFormat="1" applyBorder="1"/>
    <xf numFmtId="0" fontId="3" fillId="13" borderId="16" xfId="0" applyFont="1" applyFill="1" applyBorder="1"/>
    <xf numFmtId="183" fontId="3" fillId="13" borderId="16" xfId="0" applyNumberFormat="1" applyFont="1" applyFill="1" applyBorder="1"/>
    <xf numFmtId="0" fontId="3" fillId="0" borderId="0" xfId="0" applyFont="1" applyFill="1" applyBorder="1"/>
    <xf numFmtId="183" fontId="3" fillId="0" borderId="0" xfId="0" applyNumberFormat="1" applyFont="1" applyFill="1" applyBorder="1"/>
    <xf numFmtId="0" fontId="17" fillId="0" borderId="0" xfId="0" applyFont="1" applyFill="1" applyBorder="1"/>
    <xf numFmtId="173" fontId="0" fillId="0" borderId="0" xfId="0" applyNumberFormat="1" applyFont="1"/>
    <xf numFmtId="0" fontId="29" fillId="0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right"/>
    </xf>
    <xf numFmtId="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82" fontId="0" fillId="0" borderId="1" xfId="0" applyNumberFormat="1" applyFill="1" applyBorder="1"/>
    <xf numFmtId="173" fontId="0" fillId="10" borderId="0" xfId="0" applyNumberFormat="1" applyFill="1"/>
    <xf numFmtId="0" fontId="2" fillId="7" borderId="0" xfId="0" applyFont="1" applyFill="1" applyAlignment="1">
      <alignment horizontal="left" indent="2"/>
    </xf>
    <xf numFmtId="0" fontId="2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9" fillId="7" borderId="0" xfId="0" applyFont="1" applyFill="1" applyAlignment="1">
      <alignment horizontal="center"/>
    </xf>
    <xf numFmtId="164" fontId="5" fillId="0" borderId="0" xfId="4" applyNumberFormat="1" applyBorder="1" applyAlignment="1" applyProtection="1">
      <alignment horizontal="center"/>
    </xf>
    <xf numFmtId="164" fontId="2" fillId="2" borderId="0" xfId="3" applyNumberFormat="1" applyFont="1" applyBorder="1" applyAlignment="1">
      <alignment horizontal="center"/>
    </xf>
    <xf numFmtId="181" fontId="0" fillId="0" borderId="0" xfId="0" applyNumberFormat="1" applyFill="1"/>
  </cellXfs>
  <cellStyles count="5">
    <cellStyle name="Accent6" xfId="3" builtinId="49"/>
    <cellStyle name="Comma" xfId="1" builtinId="3"/>
    <cellStyle name="Hyperlink" xfId="4" builtinId="8"/>
    <cellStyle name="Normal" xfId="0" builtinId="0"/>
    <cellStyle name="Percent" xfId="2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Regression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'Forcasting Growth Rate'!$D$4</c:f>
              <c:strCache>
                <c:ptCount val="1"/>
                <c:pt idx="0">
                  <c:v>Sales</c:v>
                </c:pt>
              </c:strCache>
            </c:strRef>
          </c:tx>
          <c:spPr>
            <a:ln w="47625">
              <a:noFill/>
            </a:ln>
          </c:spPr>
          <c:xVal>
            <c:numRef>
              <c:f>'Forcasting Growth Rate'!$C$5:$C$14</c:f>
              <c:numCache>
                <c:formatCode>0"A"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xVal>
          <c:yVal>
            <c:numRef>
              <c:f>'Forcasting Growth Rate'!$D$5:$D$14</c:f>
              <c:numCache>
                <c:formatCode>#,##0.0</c:formatCode>
                <c:ptCount val="10"/>
                <c:pt idx="0">
                  <c:v>3394.14</c:v>
                </c:pt>
                <c:pt idx="1">
                  <c:v>3861.18</c:v>
                </c:pt>
                <c:pt idx="2">
                  <c:v>4003.54</c:v>
                </c:pt>
                <c:pt idx="3">
                  <c:v>5105.26</c:v>
                </c:pt>
                <c:pt idx="4">
                  <c:v>7129.58</c:v>
                </c:pt>
                <c:pt idx="5">
                  <c:v>6450.14</c:v>
                </c:pt>
                <c:pt idx="6">
                  <c:v>8823.23</c:v>
                </c:pt>
                <c:pt idx="7">
                  <c:v>13173.14</c:v>
                </c:pt>
                <c:pt idx="8">
                  <c:v>16042.58</c:v>
                </c:pt>
                <c:pt idx="9">
                  <c:v>20007.650000000001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1-4108-8124-421EA076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15584"/>
        <c:axId val="118571008"/>
      </c:scatterChart>
      <c:valAx>
        <c:axId val="116915584"/>
        <c:scaling>
          <c:orientation val="minMax"/>
        </c:scaling>
        <c:delete val="0"/>
        <c:axPos val="b"/>
        <c:numFmt formatCode="0&quot;A&quot;" sourceLinked="1"/>
        <c:majorTickMark val="out"/>
        <c:minorTickMark val="none"/>
        <c:tickLblPos val="nextTo"/>
        <c:crossAx val="118571008"/>
        <c:crosses val="autoZero"/>
        <c:crossBetween val="midCat"/>
      </c:valAx>
      <c:valAx>
        <c:axId val="118571008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116915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'Football field Analysis'!$L$9:$L$13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Analysis'!$N$9:$N$13</c:f>
              <c:numCache>
                <c:formatCode>General</c:formatCode>
                <c:ptCount val="5"/>
                <c:pt idx="0">
                  <c:v>406.5</c:v>
                </c:pt>
                <c:pt idx="1">
                  <c:v>181.7</c:v>
                </c:pt>
                <c:pt idx="2">
                  <c:v>229.2</c:v>
                </c:pt>
                <c:pt idx="3">
                  <c:v>263.89999999999998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B-4F4B-B149-6B0AD2C59BF8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'Football field Analysis'!$L$9:$L$13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Analysis'!$O$9:$O$13</c:f>
              <c:numCache>
                <c:formatCode>General</c:formatCode>
                <c:ptCount val="5"/>
                <c:pt idx="0">
                  <c:v>406.5</c:v>
                </c:pt>
                <c:pt idx="1">
                  <c:v>181.7</c:v>
                </c:pt>
                <c:pt idx="2">
                  <c:v>229.2</c:v>
                </c:pt>
                <c:pt idx="3">
                  <c:v>263.89999999999998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B-4F4B-B149-6B0AD2C59BF8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cat>
            <c:strRef>
              <c:f>'Football field Analysis'!$L$9:$L$13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Analysis'!$P$9:$P$13</c:f>
              <c:numCache>
                <c:formatCode>General</c:formatCode>
                <c:ptCount val="5"/>
                <c:pt idx="0">
                  <c:v>487.1</c:v>
                </c:pt>
                <c:pt idx="1">
                  <c:v>284</c:v>
                </c:pt>
                <c:pt idx="2">
                  <c:v>270.39999999999998</c:v>
                </c:pt>
                <c:pt idx="3">
                  <c:v>323.89999999999998</c:v>
                </c:pt>
                <c:pt idx="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B-4F4B-B149-6B0AD2C59BF8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'Football field Analysis'!$L$9:$L$13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Analysis'!$Q$9:$Q$13</c:f>
              <c:numCache>
                <c:formatCode>General</c:formatCode>
                <c:ptCount val="5"/>
                <c:pt idx="0">
                  <c:v>487.1</c:v>
                </c:pt>
                <c:pt idx="1">
                  <c:v>284</c:v>
                </c:pt>
                <c:pt idx="2">
                  <c:v>270.39999999999998</c:v>
                </c:pt>
                <c:pt idx="3">
                  <c:v>323.89999999999998</c:v>
                </c:pt>
                <c:pt idx="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9B-4F4B-B149-6B0AD2C59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rgbClr val="002060"/>
              </a:solidFill>
            </c:spPr>
          </c:upBars>
          <c:downBars/>
        </c:upDownBars>
        <c:axId val="117223808"/>
        <c:axId val="117225344"/>
      </c:stockChart>
      <c:catAx>
        <c:axId val="117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117225344"/>
        <c:crosses val="autoZero"/>
        <c:auto val="1"/>
        <c:lblAlgn val="ctr"/>
        <c:lblOffset val="100"/>
        <c:noMultiLvlLbl val="0"/>
      </c:catAx>
      <c:valAx>
        <c:axId val="117225344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ln>
            <a:noFill/>
          </a:ln>
        </c:spPr>
        <c:crossAx val="11722380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3</xdr:row>
      <xdr:rowOff>180975</xdr:rowOff>
    </xdr:from>
    <xdr:to>
      <xdr:col>13</xdr:col>
      <xdr:colOff>619125</xdr:colOff>
      <xdr:row>18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47623</xdr:rowOff>
    </xdr:from>
    <xdr:to>
      <xdr:col>1</xdr:col>
      <xdr:colOff>142875</xdr:colOff>
      <xdr:row>3</xdr:row>
      <xdr:rowOff>19052</xdr:rowOff>
    </xdr:to>
    <xdr:cxnSp macro="">
      <xdr:nvCxnSpPr>
        <xdr:cNvPr id="2" name="Straight Connector 1"/>
        <xdr:cNvCxnSpPr/>
      </xdr:nvCxnSpPr>
      <xdr:spPr>
        <a:xfrm rot="16200000" flipH="1">
          <a:off x="-9527" y="314325"/>
          <a:ext cx="542929" cy="95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</xdr:row>
      <xdr:rowOff>0</xdr:rowOff>
    </xdr:from>
    <xdr:to>
      <xdr:col>9</xdr:col>
      <xdr:colOff>142875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11</xdr:row>
      <xdr:rowOff>57150</xdr:rowOff>
    </xdr:from>
    <xdr:to>
      <xdr:col>9</xdr:col>
      <xdr:colOff>123825</xdr:colOff>
      <xdr:row>11</xdr:row>
      <xdr:rowOff>58738</xdr:rowOff>
    </xdr:to>
    <xdr:cxnSp macro="">
      <xdr:nvCxnSpPr>
        <xdr:cNvPr id="4" name="Straight Connector 3"/>
        <xdr:cNvCxnSpPr/>
      </xdr:nvCxnSpPr>
      <xdr:spPr>
        <a:xfrm>
          <a:off x="1066800" y="2152650"/>
          <a:ext cx="4057650" cy="1588"/>
        </a:xfrm>
        <a:prstGeom prst="line">
          <a:avLst/>
        </a:prstGeom>
        <a:ln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0</xdr:rowOff>
    </xdr:from>
    <xdr:to>
      <xdr:col>1</xdr:col>
      <xdr:colOff>114300</xdr:colOff>
      <xdr:row>0</xdr:row>
      <xdr:rowOff>0</xdr:rowOff>
    </xdr:to>
    <xdr:cxnSp macro="">
      <xdr:nvCxnSpPr>
        <xdr:cNvPr id="2" name="Straight Connector 1"/>
        <xdr:cNvCxnSpPr/>
      </xdr:nvCxnSpPr>
      <xdr:spPr>
        <a:xfrm rot="16200000" flipH="1">
          <a:off x="-57150" y="352424"/>
          <a:ext cx="581025" cy="9525"/>
        </a:xfrm>
        <a:prstGeom prst="line">
          <a:avLst/>
        </a:prstGeom>
        <a:ln>
          <a:solidFill>
            <a:srgbClr val="8DAD8D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kajal\Desktop\FInancial%20modelling%20new.hii\Final%20fm\The%20valuation%20school%20financial%20modellin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cenario Summary"/>
      <sheetName val="Sheet3"/>
      <sheetName val="Financial&gt;"/>
      <sheetName val="Historical'FS"/>
      <sheetName val="Data sheet&gt; (2)"/>
      <sheetName val="Data&gt;"/>
      <sheetName val="cash flow statment"/>
      <sheetName val="Ratio Ananlysis"/>
      <sheetName val="ADANI ent (2)"/>
      <sheetName val="TAMO"/>
      <sheetName val="ADANI ENT&gt;"/>
      <sheetName val="Forecasting"/>
      <sheetName val="DCF&gt;"/>
      <sheetName val="DCF&gt; (1)"/>
      <sheetName val="DAta of Left DCf"/>
      <sheetName val="WACC 1."/>
      <sheetName val="RM"/>
      <sheetName val="DATA&gt;&gt;&gt;&gt;"/>
      <sheetName val="Beta - Regression"/>
      <sheetName val="Beta - Comps"/>
      <sheetName val="Common size statement"/>
      <sheetName val="Data Room&gt;"/>
      <sheetName val="Data sheet&gt;"/>
      <sheetName val="Raw FS"/>
      <sheetName val="Intrinsic Growth"/>
      <sheetName val="DCF 2.O"/>
      <sheetName val="ds asian PAINTS"/>
      <sheetName val="Comps Valuation"/>
      <sheetName val="DAta Sheet CIPLA"/>
      <sheetName val="Football field Analysis"/>
    </sheetNames>
    <sheetDataSet>
      <sheetData sheetId="0"/>
      <sheetData sheetId="1"/>
      <sheetData sheetId="2"/>
      <sheetData sheetId="3">
        <row r="2">
          <cell r="C2">
            <v>0.04</v>
          </cell>
        </row>
        <row r="3">
          <cell r="C3">
            <v>0.1</v>
          </cell>
        </row>
        <row r="4">
          <cell r="C4">
            <v>1.25</v>
          </cell>
        </row>
        <row r="5">
          <cell r="C5">
            <v>0.14000000000000001</v>
          </cell>
        </row>
        <row r="6">
          <cell r="C6">
            <v>0.3</v>
          </cell>
        </row>
        <row r="7">
          <cell r="C7">
            <v>125000</v>
          </cell>
        </row>
        <row r="8">
          <cell r="C8">
            <v>125000</v>
          </cell>
        </row>
        <row r="13">
          <cell r="C13">
            <v>0.04</v>
          </cell>
        </row>
        <row r="14">
          <cell r="C14">
            <v>0.1</v>
          </cell>
        </row>
        <row r="17">
          <cell r="C17">
            <v>0.11500000000000002</v>
          </cell>
        </row>
        <row r="19">
          <cell r="C19">
            <v>0.14000000000000001</v>
          </cell>
        </row>
        <row r="20">
          <cell r="C20">
            <v>0.3</v>
          </cell>
        </row>
        <row r="21">
          <cell r="C21">
            <v>9.8000000000000004E-2</v>
          </cell>
        </row>
        <row r="23">
          <cell r="C23">
            <v>125000</v>
          </cell>
        </row>
        <row r="24">
          <cell r="C24">
            <v>125000</v>
          </cell>
        </row>
        <row r="25">
          <cell r="C25">
            <v>0.5</v>
          </cell>
        </row>
        <row r="26">
          <cell r="C26">
            <v>0.5</v>
          </cell>
        </row>
        <row r="33">
          <cell r="C33">
            <v>14500</v>
          </cell>
        </row>
        <row r="34">
          <cell r="C34">
            <v>0.1</v>
          </cell>
        </row>
        <row r="35">
          <cell r="C35">
            <v>1.2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2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RowHeight="15" x14ac:dyDescent="0.25"/>
  <cols>
    <col min="1" max="1" width="1.85546875" customWidth="1"/>
    <col min="2" max="2" width="51" bestFit="1" customWidth="1"/>
    <col min="3" max="7" width="11.5703125" bestFit="1" customWidth="1"/>
    <col min="8" max="8" width="11.28515625" bestFit="1" customWidth="1"/>
    <col min="9" max="9" width="11.5703125" bestFit="1" customWidth="1"/>
    <col min="10" max="11" width="11.28515625" bestFit="1" customWidth="1"/>
    <col min="12" max="12" width="11.28515625" customWidth="1"/>
    <col min="13" max="13" width="11.5703125" bestFit="1" customWidth="1"/>
  </cols>
  <sheetData>
    <row r="2" spans="1:14" x14ac:dyDescent="0.25">
      <c r="B2" s="265" t="str">
        <f>"Historical Financial Statement - "&amp;'Data Sheet'!B1</f>
        <v>Historical Financial Statement - VARUN BEVERAGES LTD</v>
      </c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</row>
    <row r="3" spans="1:14" x14ac:dyDescent="0.25">
      <c r="B3" s="8" t="s">
        <v>54</v>
      </c>
      <c r="C3" s="9">
        <f>'Data Sheet'!B16</f>
        <v>42369</v>
      </c>
      <c r="D3" s="9">
        <f>'Data Sheet'!C16</f>
        <v>42735</v>
      </c>
      <c r="E3" s="9">
        <f>'Data Sheet'!D16</f>
        <v>43100</v>
      </c>
      <c r="F3" s="9">
        <f>'Data Sheet'!E16</f>
        <v>43465</v>
      </c>
      <c r="G3" s="9">
        <f>'Data Sheet'!F16</f>
        <v>43830</v>
      </c>
      <c r="H3" s="9">
        <f>'Data Sheet'!G16</f>
        <v>44196</v>
      </c>
      <c r="I3" s="9">
        <f>'Data Sheet'!H16</f>
        <v>44561</v>
      </c>
      <c r="J3" s="9">
        <f>'Data Sheet'!I16</f>
        <v>44926</v>
      </c>
      <c r="K3" s="9">
        <f>'Data Sheet'!J16</f>
        <v>45291</v>
      </c>
      <c r="L3" s="9">
        <f>'Data Sheet'!K16</f>
        <v>45657</v>
      </c>
      <c r="M3" s="10" t="s">
        <v>55</v>
      </c>
      <c r="N3" s="11"/>
    </row>
    <row r="4" spans="1:14" s="12" customFormat="1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6"/>
    </row>
    <row r="5" spans="1:14" s="17" customFormat="1" x14ac:dyDescent="0.25">
      <c r="A5" s="17" t="s">
        <v>56</v>
      </c>
      <c r="B5" s="17" t="s">
        <v>57</v>
      </c>
    </row>
    <row r="6" spans="1:14" x14ac:dyDescent="0.25">
      <c r="B6" t="s">
        <v>12</v>
      </c>
      <c r="C6" s="18">
        <f>IFERROR(('Data Sheet'!B17),0)</f>
        <v>3394.14</v>
      </c>
      <c r="D6" s="18">
        <f>IFERROR(('Data Sheet'!C17),0)</f>
        <v>3861.18</v>
      </c>
      <c r="E6" s="18">
        <f>IFERROR(('Data Sheet'!D17),0)</f>
        <v>4003.54</v>
      </c>
      <c r="F6" s="18">
        <f>IFERROR(('Data Sheet'!E17),0)</f>
        <v>5105.26</v>
      </c>
      <c r="G6" s="18">
        <f>IFERROR(('Data Sheet'!F17),0)</f>
        <v>7129.58</v>
      </c>
      <c r="H6" s="18">
        <f>IFERROR(('Data Sheet'!G17),0)</f>
        <v>6450.14</v>
      </c>
      <c r="I6" s="18">
        <f>IFERROR(('Data Sheet'!H17),0)</f>
        <v>8823.23</v>
      </c>
      <c r="J6" s="18">
        <f>IFERROR(('Data Sheet'!I17),0)</f>
        <v>13173.14</v>
      </c>
      <c r="K6" s="18">
        <f>IFERROR(('Data Sheet'!J17),0)</f>
        <v>16042.58</v>
      </c>
      <c r="L6" s="18">
        <f>IFERROR(('Data Sheet'!K17),0)</f>
        <v>20007.650000000001</v>
      </c>
      <c r="M6" s="18">
        <f>IFERROR(SUM('Data Sheet'!H42:K42),0)</f>
        <v>21257.27</v>
      </c>
    </row>
    <row r="7" spans="1:14" x14ac:dyDescent="0.25">
      <c r="B7" s="19" t="s">
        <v>58</v>
      </c>
      <c r="C7" s="20" t="s">
        <v>59</v>
      </c>
      <c r="D7" s="21">
        <f>D6/C6-1</f>
        <v>0.13760186674680486</v>
      </c>
      <c r="E7" s="21">
        <f t="shared" ref="E7:M7" si="0">E6/D6-1</f>
        <v>3.6869558010763637E-2</v>
      </c>
      <c r="F7" s="21">
        <f t="shared" si="0"/>
        <v>0.27518645998291524</v>
      </c>
      <c r="G7" s="21">
        <f t="shared" si="0"/>
        <v>0.39651653392775277</v>
      </c>
      <c r="H7" s="21">
        <f t="shared" si="0"/>
        <v>-9.5298741300329004E-2</v>
      </c>
      <c r="I7" s="21">
        <f t="shared" si="0"/>
        <v>0.36791294452523493</v>
      </c>
      <c r="J7" s="21">
        <f t="shared" si="0"/>
        <v>0.49300652935489619</v>
      </c>
      <c r="K7" s="21">
        <f t="shared" si="0"/>
        <v>0.21782505917343942</v>
      </c>
      <c r="L7" s="21">
        <f t="shared" si="0"/>
        <v>0.24715912278448982</v>
      </c>
      <c r="M7" s="21">
        <f t="shared" si="0"/>
        <v>6.2457110155365481E-2</v>
      </c>
    </row>
    <row r="9" spans="1:14" x14ac:dyDescent="0.25">
      <c r="B9" t="s">
        <v>60</v>
      </c>
      <c r="C9" s="22">
        <f>IFERROR((SUM('Data Sheet'!B18,'Data Sheet'!B20:B22)-1*'Data Sheet'!B19),0)</f>
        <v>2303.2900000000004</v>
      </c>
      <c r="D9" s="22">
        <f>IFERROR((SUM('Data Sheet'!C18,'Data Sheet'!C20:C22)-1*'Data Sheet'!C19),0)</f>
        <v>2470.2099999999996</v>
      </c>
      <c r="E9" s="22">
        <f>IFERROR((SUM('Data Sheet'!D18,'Data Sheet'!D20:D22)-1*'Data Sheet'!D19),0)</f>
        <v>2587.77</v>
      </c>
      <c r="F9" s="22">
        <f>IFERROR((SUM('Data Sheet'!E18,'Data Sheet'!E20:E22)-1*'Data Sheet'!E19),0)</f>
        <v>3213.75</v>
      </c>
      <c r="G9" s="22">
        <f>IFERROR((SUM('Data Sheet'!F18,'Data Sheet'!F20:F22)-1*'Data Sheet'!F19),0)</f>
        <v>4555.47</v>
      </c>
      <c r="H9" s="22">
        <f>IFERROR((SUM('Data Sheet'!G18,'Data Sheet'!G20:G22)-1*'Data Sheet'!G19),0)</f>
        <v>4185.37</v>
      </c>
      <c r="I9" s="22">
        <f>IFERROR((SUM('Data Sheet'!H18,'Data Sheet'!H20:H22)-1*'Data Sheet'!H19),0)</f>
        <v>5708.3700000000008</v>
      </c>
      <c r="J9" s="22">
        <f>IFERROR((SUM('Data Sheet'!I18,'Data Sheet'!I20:I22)-1*'Data Sheet'!I19),0)</f>
        <v>8447.6200000000008</v>
      </c>
      <c r="K9" s="22">
        <f>IFERROR((SUM('Data Sheet'!J18,'Data Sheet'!J20:J22)-1*'Data Sheet'!J19),0)</f>
        <v>9939.51</v>
      </c>
      <c r="L9" s="22">
        <f>IFERROR((SUM('Data Sheet'!K18,'Data Sheet'!K20:K22)-1*'Data Sheet'!K19),0)</f>
        <v>12100.640000000001</v>
      </c>
      <c r="M9" s="22">
        <f>IFERROR(SUM('Data Sheet'!H43:K43),0)</f>
        <v>16272.89</v>
      </c>
    </row>
    <row r="10" spans="1:14" x14ac:dyDescent="0.25">
      <c r="B10" s="19" t="s">
        <v>61</v>
      </c>
      <c r="C10" s="23">
        <f>C9/C6</f>
        <v>0.67860783585827356</v>
      </c>
      <c r="D10" s="23">
        <f t="shared" ref="D10:M10" si="1">D9/D6</f>
        <v>0.63975520436757671</v>
      </c>
      <c r="E10" s="23">
        <f t="shared" si="1"/>
        <v>0.64637046214100524</v>
      </c>
      <c r="F10" s="23">
        <f t="shared" si="1"/>
        <v>0.62949781206050226</v>
      </c>
      <c r="G10" s="23">
        <f t="shared" si="1"/>
        <v>0.63895348674115449</v>
      </c>
      <c r="H10" s="23">
        <f t="shared" si="1"/>
        <v>0.64888048941573351</v>
      </c>
      <c r="I10" s="23">
        <f t="shared" si="1"/>
        <v>0.64697055386746138</v>
      </c>
      <c r="J10" s="23">
        <f t="shared" si="1"/>
        <v>0.64127611184577116</v>
      </c>
      <c r="K10" s="23">
        <f t="shared" si="1"/>
        <v>0.61957054289272673</v>
      </c>
      <c r="L10" s="23">
        <f t="shared" si="1"/>
        <v>0.60480066374611707</v>
      </c>
      <c r="M10" s="23">
        <f t="shared" si="1"/>
        <v>0.76552116052531671</v>
      </c>
    </row>
    <row r="12" spans="1:14" x14ac:dyDescent="0.25">
      <c r="B12" s="24" t="s">
        <v>62</v>
      </c>
      <c r="C12" s="25">
        <f>IFERROR(C6-C9,0)</f>
        <v>1090.8499999999995</v>
      </c>
      <c r="D12" s="25">
        <f t="shared" ref="D12:K12" si="2">IFERROR(D6-D9,0)</f>
        <v>1390.9700000000003</v>
      </c>
      <c r="E12" s="25">
        <f t="shared" si="2"/>
        <v>1415.77</v>
      </c>
      <c r="F12" s="25">
        <f t="shared" si="2"/>
        <v>1891.5100000000002</v>
      </c>
      <c r="G12" s="25">
        <f t="shared" si="2"/>
        <v>2574.1099999999997</v>
      </c>
      <c r="H12" s="25">
        <f t="shared" si="2"/>
        <v>2264.7700000000004</v>
      </c>
      <c r="I12" s="25">
        <f t="shared" si="2"/>
        <v>3114.8599999999988</v>
      </c>
      <c r="J12" s="25">
        <f t="shared" si="2"/>
        <v>4725.5199999999986</v>
      </c>
      <c r="K12" s="25">
        <f t="shared" si="2"/>
        <v>6103.07</v>
      </c>
      <c r="L12" s="25">
        <f t="shared" ref="L12:M12" si="3">IFERROR(L6-L9,0)</f>
        <v>7907.01</v>
      </c>
      <c r="M12" s="25">
        <f t="shared" si="3"/>
        <v>4984.380000000001</v>
      </c>
    </row>
    <row r="13" spans="1:14" x14ac:dyDescent="0.25">
      <c r="B13" s="19" t="s">
        <v>63</v>
      </c>
      <c r="C13" s="23">
        <f>C12/C6</f>
        <v>0.3213921641417265</v>
      </c>
      <c r="D13" s="23">
        <f t="shared" ref="D13:K13" si="4">D12/D6</f>
        <v>0.36024479563242334</v>
      </c>
      <c r="E13" s="23">
        <f t="shared" si="4"/>
        <v>0.35362953785899481</v>
      </c>
      <c r="F13" s="23">
        <f t="shared" si="4"/>
        <v>0.37050218793949774</v>
      </c>
      <c r="G13" s="23">
        <f t="shared" si="4"/>
        <v>0.36104651325884551</v>
      </c>
      <c r="H13" s="23">
        <f t="shared" si="4"/>
        <v>0.35111951058426644</v>
      </c>
      <c r="I13" s="23">
        <f t="shared" si="4"/>
        <v>0.35302944613253862</v>
      </c>
      <c r="J13" s="23">
        <f t="shared" si="4"/>
        <v>0.3587238881542289</v>
      </c>
      <c r="K13" s="23">
        <f t="shared" si="4"/>
        <v>0.38042945710727327</v>
      </c>
      <c r="L13" s="23">
        <f t="shared" ref="L13" si="5">L12/L6</f>
        <v>0.39519933625388287</v>
      </c>
      <c r="M13" s="23">
        <f t="shared" ref="M13" si="6">M12/M6</f>
        <v>0.23447883947468329</v>
      </c>
    </row>
    <row r="15" spans="1:14" x14ac:dyDescent="0.25">
      <c r="B15" t="s">
        <v>64</v>
      </c>
      <c r="C15" s="22">
        <f>IFERROR(SUM('Data Sheet'!B23:B24),0)</f>
        <v>448.38</v>
      </c>
      <c r="D15" s="22">
        <f>IFERROR(SUM('Data Sheet'!C23:C24),0)</f>
        <v>581.46</v>
      </c>
      <c r="E15" s="22">
        <f>IFERROR(SUM('Data Sheet'!D23:D24),0)</f>
        <v>577.43999999999994</v>
      </c>
      <c r="F15" s="22">
        <f>IFERROR(SUM('Data Sheet'!E23:E24),0)</f>
        <v>855.70999999999992</v>
      </c>
      <c r="G15" s="22">
        <f>IFERROR(SUM('Data Sheet'!F23:F24),0)</f>
        <v>1111.7899999999997</v>
      </c>
      <c r="H15" s="22">
        <f>IFERROR(SUM('Data Sheet'!G23:G24),0)</f>
        <v>1049.8100000000002</v>
      </c>
      <c r="I15" s="22">
        <f>IFERROR(SUM('Data Sheet'!H23:H24),0)</f>
        <v>1420.91</v>
      </c>
      <c r="J15" s="22">
        <f>IFERROR(SUM('Data Sheet'!I23:I24),0)</f>
        <v>1862.5200000000002</v>
      </c>
      <c r="K15" s="22">
        <f>IFERROR(SUM('Data Sheet'!J23:J24),0)</f>
        <v>2386.33</v>
      </c>
      <c r="L15" s="22">
        <f>IFERROR(SUM('Data Sheet'!K23:K24),0)</f>
        <v>3092.0699999999997</v>
      </c>
    </row>
    <row r="16" spans="1:14" x14ac:dyDescent="0.25">
      <c r="B16" s="19" t="s">
        <v>115</v>
      </c>
      <c r="C16" s="23">
        <f>C15/C6</f>
        <v>0.13210415598649439</v>
      </c>
      <c r="D16" s="23">
        <f t="shared" ref="D16:L16" si="7">D15/D6</f>
        <v>0.15059127002626141</v>
      </c>
      <c r="E16" s="23">
        <f t="shared" si="7"/>
        <v>0.14423235436638573</v>
      </c>
      <c r="F16" s="23">
        <f t="shared" si="7"/>
        <v>0.16761340264746552</v>
      </c>
      <c r="G16" s="23">
        <f t="shared" si="7"/>
        <v>0.15594046213100909</v>
      </c>
      <c r="H16" s="23">
        <f t="shared" si="7"/>
        <v>0.16275770758464159</v>
      </c>
      <c r="I16" s="23">
        <f t="shared" si="7"/>
        <v>0.16104193135620404</v>
      </c>
      <c r="J16" s="23">
        <f t="shared" si="7"/>
        <v>0.14138770255231481</v>
      </c>
      <c r="K16" s="23">
        <f t="shared" si="7"/>
        <v>0.14874976468872214</v>
      </c>
      <c r="L16" s="23">
        <f t="shared" si="7"/>
        <v>0.15454438677205967</v>
      </c>
      <c r="M16" s="23">
        <f t="shared" ref="M16" si="8">M15/M6</f>
        <v>0</v>
      </c>
    </row>
    <row r="18" spans="2:14" x14ac:dyDescent="0.25">
      <c r="B18" s="24" t="s">
        <v>65</v>
      </c>
      <c r="C18" s="25">
        <f>IFERROR(C12-C15,0)</f>
        <v>642.46999999999946</v>
      </c>
      <c r="D18" s="25">
        <f t="shared" ref="D18:M18" si="9">IFERROR(D12-D15,0)</f>
        <v>809.51000000000022</v>
      </c>
      <c r="E18" s="25">
        <f t="shared" si="9"/>
        <v>838.33</v>
      </c>
      <c r="F18" s="25">
        <f t="shared" si="9"/>
        <v>1035.8000000000002</v>
      </c>
      <c r="G18" s="25">
        <f t="shared" si="9"/>
        <v>1462.32</v>
      </c>
      <c r="H18" s="25">
        <f t="shared" si="9"/>
        <v>1214.9600000000003</v>
      </c>
      <c r="I18" s="25">
        <f t="shared" si="9"/>
        <v>1693.9499999999987</v>
      </c>
      <c r="J18" s="25">
        <f t="shared" si="9"/>
        <v>2862.9999999999982</v>
      </c>
      <c r="K18" s="25">
        <f t="shared" si="9"/>
        <v>3716.74</v>
      </c>
      <c r="L18" s="25">
        <f t="shared" si="9"/>
        <v>4814.9400000000005</v>
      </c>
      <c r="M18" s="25">
        <f t="shared" si="9"/>
        <v>4984.380000000001</v>
      </c>
      <c r="N18" s="22"/>
    </row>
    <row r="19" spans="2:14" x14ac:dyDescent="0.25">
      <c r="B19" s="19" t="s">
        <v>66</v>
      </c>
      <c r="C19" s="23">
        <f>C18/C6</f>
        <v>0.18928800815523211</v>
      </c>
      <c r="D19" s="23">
        <f t="shared" ref="D19:M19" si="10">D18/D6</f>
        <v>0.20965352560616191</v>
      </c>
      <c r="E19" s="23">
        <f t="shared" si="10"/>
        <v>0.20939718349260905</v>
      </c>
      <c r="F19" s="23">
        <f t="shared" si="10"/>
        <v>0.20288878529203216</v>
      </c>
      <c r="G19" s="23">
        <f t="shared" si="10"/>
        <v>0.20510605112783642</v>
      </c>
      <c r="H19" s="23">
        <f t="shared" si="10"/>
        <v>0.18836180299962485</v>
      </c>
      <c r="I19" s="23">
        <f t="shared" si="10"/>
        <v>0.19198751477633461</v>
      </c>
      <c r="J19" s="23">
        <f t="shared" si="10"/>
        <v>0.21733618560191406</v>
      </c>
      <c r="K19" s="23">
        <f t="shared" si="10"/>
        <v>0.23167969241855113</v>
      </c>
      <c r="L19" s="23">
        <f t="shared" si="10"/>
        <v>0.2406549494818232</v>
      </c>
      <c r="M19" s="23">
        <f t="shared" si="10"/>
        <v>0.23447883947468329</v>
      </c>
    </row>
    <row r="21" spans="2:14" x14ac:dyDescent="0.25">
      <c r="B21" t="s">
        <v>22</v>
      </c>
      <c r="C21" s="22">
        <f>IFERROR('Data Sheet'!B27,0)</f>
        <v>170.15</v>
      </c>
      <c r="D21" s="22">
        <f>IFERROR('Data Sheet'!C27,0)</f>
        <v>434.74</v>
      </c>
      <c r="E21" s="22">
        <f>IFERROR('Data Sheet'!D27,0)</f>
        <v>214.59</v>
      </c>
      <c r="F21" s="22">
        <f>IFERROR('Data Sheet'!E27,0)</f>
        <v>222.8</v>
      </c>
      <c r="G21" s="22">
        <f>IFERROR('Data Sheet'!F27,0)</f>
        <v>324.31</v>
      </c>
      <c r="H21" s="22">
        <f>IFERROR('Data Sheet'!G27,0)</f>
        <v>293.74</v>
      </c>
      <c r="I21" s="22">
        <f>IFERROR('Data Sheet'!H27,0)</f>
        <v>206.97</v>
      </c>
      <c r="J21" s="22">
        <f>IFERROR('Data Sheet'!I27,0)</f>
        <v>204.09</v>
      </c>
      <c r="K21" s="22">
        <f>IFERROR('Data Sheet'!J27,0)</f>
        <v>291.60000000000002</v>
      </c>
      <c r="L21" s="22">
        <f>IFERROR('Data Sheet'!K27,0)</f>
        <v>482.86</v>
      </c>
      <c r="M21" s="22">
        <f>IFERROR(SUM('Data Sheet'!H46:K46),0)</f>
        <v>397.83</v>
      </c>
    </row>
    <row r="22" spans="2:14" x14ac:dyDescent="0.25">
      <c r="B22" s="19" t="s">
        <v>67</v>
      </c>
      <c r="C22" s="23">
        <f>C21/C6</f>
        <v>5.0130519071104905E-2</v>
      </c>
      <c r="D22" s="23">
        <f t="shared" ref="D22:M22" si="11">D21/D6</f>
        <v>0.11259252352907662</v>
      </c>
      <c r="E22" s="23">
        <f t="shared" si="11"/>
        <v>5.3600063943410083E-2</v>
      </c>
      <c r="F22" s="23">
        <f t="shared" si="11"/>
        <v>4.3641264107998415E-2</v>
      </c>
      <c r="G22" s="23">
        <f t="shared" si="11"/>
        <v>4.5487953007049504E-2</v>
      </c>
      <c r="H22" s="23">
        <f t="shared" si="11"/>
        <v>4.5540096804100372E-2</v>
      </c>
      <c r="I22" s="23">
        <f t="shared" si="11"/>
        <v>2.3457395987637183E-2</v>
      </c>
      <c r="J22" s="23">
        <f t="shared" si="11"/>
        <v>1.549288931871976E-2</v>
      </c>
      <c r="K22" s="23">
        <f t="shared" si="11"/>
        <v>1.8176627450198161E-2</v>
      </c>
      <c r="L22" s="23">
        <f t="shared" si="11"/>
        <v>2.4133768833421214E-2</v>
      </c>
      <c r="M22" s="23">
        <f t="shared" si="11"/>
        <v>1.8715009029851903E-2</v>
      </c>
    </row>
    <row r="24" spans="2:14" x14ac:dyDescent="0.25">
      <c r="B24" t="s">
        <v>21</v>
      </c>
      <c r="C24" s="22">
        <f>IFERROR('Data Sheet'!B26,0)</f>
        <v>317.41000000000003</v>
      </c>
      <c r="D24" s="22">
        <f>IFERROR('Data Sheet'!C26,0)</f>
        <v>322.20999999999998</v>
      </c>
      <c r="E24" s="22">
        <f>IFERROR('Data Sheet'!D26,0)</f>
        <v>346.64</v>
      </c>
      <c r="F24" s="22">
        <f>IFERROR('Data Sheet'!E26,0)</f>
        <v>385.07</v>
      </c>
      <c r="G24" s="22">
        <f>IFERROR('Data Sheet'!F26,0)</f>
        <v>488.63</v>
      </c>
      <c r="H24" s="22">
        <f>IFERROR('Data Sheet'!G26,0)</f>
        <v>528.70000000000005</v>
      </c>
      <c r="I24" s="22">
        <f>IFERROR('Data Sheet'!H26,0)</f>
        <v>531.26</v>
      </c>
      <c r="J24" s="22">
        <f>IFERROR('Data Sheet'!I26,0)</f>
        <v>617.19000000000005</v>
      </c>
      <c r="K24" s="22">
        <f>IFERROR('Data Sheet'!J26,0)</f>
        <v>680.91</v>
      </c>
      <c r="L24" s="22">
        <f>IFERROR('Data Sheet'!K26,0)</f>
        <v>947.39</v>
      </c>
      <c r="M24" s="22">
        <f>IFERROR(SUM('Data Sheet'!H45:K45),0)</f>
        <v>1032.3800000000001</v>
      </c>
    </row>
    <row r="25" spans="2:14" x14ac:dyDescent="0.25">
      <c r="B25" s="19" t="s">
        <v>68</v>
      </c>
      <c r="C25" s="23">
        <f>C24/C6</f>
        <v>9.3517061759385303E-2</v>
      </c>
      <c r="D25" s="23">
        <f t="shared" ref="D25:M25" si="12">D24/D6</f>
        <v>8.3448583075640084E-2</v>
      </c>
      <c r="E25" s="23">
        <f t="shared" si="12"/>
        <v>8.6583373714262876E-2</v>
      </c>
      <c r="F25" s="23">
        <f t="shared" si="12"/>
        <v>7.5426129129564409E-2</v>
      </c>
      <c r="G25" s="23">
        <f t="shared" si="12"/>
        <v>6.8535593962056676E-2</v>
      </c>
      <c r="H25" s="23">
        <f t="shared" si="12"/>
        <v>8.1967213114754106E-2</v>
      </c>
      <c r="I25" s="23">
        <f t="shared" si="12"/>
        <v>6.0211509843900703E-2</v>
      </c>
      <c r="J25" s="23">
        <f t="shared" si="12"/>
        <v>4.6852155218877208E-2</v>
      </c>
      <c r="K25" s="23">
        <f t="shared" si="12"/>
        <v>4.2443921114932885E-2</v>
      </c>
      <c r="L25" s="23">
        <f t="shared" si="12"/>
        <v>4.7351388094054023E-2</v>
      </c>
      <c r="M25" s="23">
        <f t="shared" si="12"/>
        <v>4.85659729588983E-2</v>
      </c>
    </row>
    <row r="27" spans="2:14" x14ac:dyDescent="0.25">
      <c r="B27" s="26" t="s">
        <v>69</v>
      </c>
      <c r="C27" s="27">
        <f>IFERROR(C18-SUM(C21,C24),0)</f>
        <v>154.9099999999994</v>
      </c>
      <c r="D27" s="27">
        <f t="shared" ref="D27:M27" si="13">IFERROR(D18-SUM(D21,D24),0)</f>
        <v>52.560000000000173</v>
      </c>
      <c r="E27" s="27">
        <f t="shared" si="13"/>
        <v>277.10000000000002</v>
      </c>
      <c r="F27" s="27">
        <f t="shared" si="13"/>
        <v>427.93000000000018</v>
      </c>
      <c r="G27" s="27">
        <f t="shared" si="13"/>
        <v>649.37999999999988</v>
      </c>
      <c r="H27" s="27">
        <f t="shared" si="13"/>
        <v>392.52000000000021</v>
      </c>
      <c r="I27" s="27">
        <f t="shared" si="13"/>
        <v>955.71999999999866</v>
      </c>
      <c r="J27" s="27">
        <f t="shared" si="13"/>
        <v>2041.719999999998</v>
      </c>
      <c r="K27" s="27">
        <f t="shared" si="13"/>
        <v>2744.2299999999996</v>
      </c>
      <c r="L27" s="27">
        <f t="shared" si="13"/>
        <v>3384.6900000000005</v>
      </c>
      <c r="M27" s="27">
        <f t="shared" si="13"/>
        <v>3554.170000000001</v>
      </c>
    </row>
    <row r="28" spans="2:14" x14ac:dyDescent="0.25">
      <c r="B28" s="19" t="s">
        <v>70</v>
      </c>
      <c r="C28" s="23">
        <f>C27/C6</f>
        <v>4.5640427324741883E-2</v>
      </c>
      <c r="D28" s="23">
        <f t="shared" ref="D28:M28" si="14">D27/D6</f>
        <v>1.3612419001445199E-2</v>
      </c>
      <c r="E28" s="23">
        <f t="shared" si="14"/>
        <v>6.9213745834936086E-2</v>
      </c>
      <c r="F28" s="23">
        <f t="shared" si="14"/>
        <v>8.382139205446934E-2</v>
      </c>
      <c r="G28" s="23">
        <f t="shared" si="14"/>
        <v>9.1082504158730232E-2</v>
      </c>
      <c r="H28" s="23">
        <f t="shared" si="14"/>
        <v>6.0854493080770372E-2</v>
      </c>
      <c r="I28" s="23">
        <f t="shared" si="14"/>
        <v>0.10831860894479671</v>
      </c>
      <c r="J28" s="23">
        <f t="shared" si="14"/>
        <v>0.15499114106431711</v>
      </c>
      <c r="K28" s="23">
        <f t="shared" si="14"/>
        <v>0.17105914385342005</v>
      </c>
      <c r="L28" s="23">
        <f t="shared" si="14"/>
        <v>0.16916979255434797</v>
      </c>
      <c r="M28" s="23">
        <f t="shared" si="14"/>
        <v>0.16719785748593308</v>
      </c>
    </row>
    <row r="30" spans="2:14" x14ac:dyDescent="0.25">
      <c r="B30" t="s">
        <v>24</v>
      </c>
      <c r="C30" s="22">
        <f>IFERROR('Data Sheet'!B29,0)</f>
        <v>78.849999999999994</v>
      </c>
      <c r="D30" s="22">
        <f>IFERROR('Data Sheet'!C29,0)</f>
        <v>31.3</v>
      </c>
      <c r="E30" s="22">
        <f>IFERROR('Data Sheet'!D29,0)</f>
        <v>76.900000000000006</v>
      </c>
      <c r="F30" s="22">
        <f>IFERROR('Data Sheet'!E29,0)</f>
        <v>133.93</v>
      </c>
      <c r="G30" s="22">
        <f>IFERROR('Data Sheet'!F29,0)</f>
        <v>224.07</v>
      </c>
      <c r="H30" s="22">
        <f>IFERROR('Data Sheet'!G29,0)</f>
        <v>5.23</v>
      </c>
      <c r="I30" s="22">
        <f>IFERROR('Data Sheet'!H29,0)</f>
        <v>260.55</v>
      </c>
      <c r="J30" s="22">
        <f>IFERROR('Data Sheet'!I29,0)</f>
        <v>473.53</v>
      </c>
      <c r="K30" s="22">
        <f>IFERROR('Data Sheet'!J29,0)</f>
        <v>637.54999999999995</v>
      </c>
      <c r="L30" s="22">
        <f>IFERROR('Data Sheet'!K29,0)</f>
        <v>798.8</v>
      </c>
      <c r="M30" s="18">
        <f>IFERROR(SUM('Data Sheet'!H48:K48),0)</f>
        <v>877.49</v>
      </c>
    </row>
    <row r="31" spans="2:14" x14ac:dyDescent="0.25">
      <c r="B31" s="19" t="s">
        <v>71</v>
      </c>
      <c r="C31" s="23">
        <f>IFERROR(C30/C27,0)</f>
        <v>0.50900522884255572</v>
      </c>
      <c r="D31" s="23">
        <f t="shared" ref="D31:M31" si="15">IFERROR(D30/D27,0)</f>
        <v>0.59550989345509697</v>
      </c>
      <c r="E31" s="23">
        <f t="shared" si="15"/>
        <v>0.27751714182605558</v>
      </c>
      <c r="F31" s="23">
        <f t="shared" si="15"/>
        <v>0.31297174771574776</v>
      </c>
      <c r="G31" s="23">
        <f t="shared" si="15"/>
        <v>0.34505220364039552</v>
      </c>
      <c r="H31" s="23">
        <f t="shared" si="15"/>
        <v>1.332416182614898E-2</v>
      </c>
      <c r="I31" s="23">
        <f t="shared" si="15"/>
        <v>0.27262168836060813</v>
      </c>
      <c r="J31" s="23">
        <f t="shared" si="15"/>
        <v>0.23192700272319439</v>
      </c>
      <c r="K31" s="23">
        <f t="shared" si="15"/>
        <v>0.23232382125404943</v>
      </c>
      <c r="L31" s="23">
        <f t="shared" si="15"/>
        <v>0.23600388809610329</v>
      </c>
      <c r="M31" s="23">
        <f t="shared" si="15"/>
        <v>0.24689027255308546</v>
      </c>
    </row>
    <row r="33" spans="1:13" x14ac:dyDescent="0.25">
      <c r="B33" s="26" t="s">
        <v>72</v>
      </c>
      <c r="C33" s="27">
        <f>IFERROR(C27-C30,0)</f>
        <v>76.059999999999405</v>
      </c>
      <c r="D33" s="27">
        <f t="shared" ref="D33:M33" si="16">IFERROR(D27-D30,0)</f>
        <v>21.260000000000172</v>
      </c>
      <c r="E33" s="27">
        <f t="shared" si="16"/>
        <v>200.20000000000002</v>
      </c>
      <c r="F33" s="27">
        <f t="shared" si="16"/>
        <v>294.00000000000017</v>
      </c>
      <c r="G33" s="27">
        <f t="shared" si="16"/>
        <v>425.30999999999989</v>
      </c>
      <c r="H33" s="27">
        <f t="shared" si="16"/>
        <v>387.29000000000019</v>
      </c>
      <c r="I33" s="27">
        <f t="shared" si="16"/>
        <v>695.16999999999871</v>
      </c>
      <c r="J33" s="27">
        <f t="shared" si="16"/>
        <v>1568.189999999998</v>
      </c>
      <c r="K33" s="27">
        <f t="shared" si="16"/>
        <v>2106.6799999999994</v>
      </c>
      <c r="L33" s="27">
        <f t="shared" si="16"/>
        <v>2585.8900000000003</v>
      </c>
      <c r="M33" s="27">
        <f t="shared" si="16"/>
        <v>2676.6800000000012</v>
      </c>
    </row>
    <row r="34" spans="1:13" x14ac:dyDescent="0.25">
      <c r="B34" s="19" t="s">
        <v>73</v>
      </c>
      <c r="C34" s="23">
        <f>C33/C6</f>
        <v>2.2409211169839609E-2</v>
      </c>
      <c r="D34" s="23">
        <f t="shared" ref="D34:L34" si="17">D33/D6</f>
        <v>5.5060888122284313E-3</v>
      </c>
      <c r="E34" s="23">
        <f t="shared" si="17"/>
        <v>5.0005744915749564E-2</v>
      </c>
      <c r="F34" s="23">
        <f t="shared" si="17"/>
        <v>5.7587664487215175E-2</v>
      </c>
      <c r="G34" s="23">
        <f t="shared" si="17"/>
        <v>5.9654285385674875E-2</v>
      </c>
      <c r="H34" s="23">
        <f t="shared" si="17"/>
        <v>6.0043657967113917E-2</v>
      </c>
      <c r="I34" s="23">
        <f t="shared" si="17"/>
        <v>7.8788606893393773E-2</v>
      </c>
      <c r="J34" s="23">
        <f t="shared" si="17"/>
        <v>0.11904451026862221</v>
      </c>
      <c r="K34" s="23">
        <f t="shared" si="17"/>
        <v>0.13131802989294736</v>
      </c>
      <c r="L34" s="23">
        <f t="shared" si="17"/>
        <v>0.12924506376311062</v>
      </c>
      <c r="M34" s="23">
        <f>M33/M6</f>
        <v>0.12591833288093915</v>
      </c>
    </row>
    <row r="36" spans="1:13" x14ac:dyDescent="0.25">
      <c r="B36" t="s">
        <v>74</v>
      </c>
      <c r="C36" s="22">
        <f>IFERROR('Data Sheet'!B94,0)</f>
        <v>225.72</v>
      </c>
      <c r="D36" s="22">
        <f>IFERROR('Data Sheet'!C94,0)</f>
        <v>307.67</v>
      </c>
      <c r="E36" s="22">
        <f>IFERROR('Data Sheet'!D94,0)</f>
        <v>308.14999999999998</v>
      </c>
      <c r="F36" s="22">
        <f>IFERROR('Data Sheet'!E94,0)</f>
        <v>308.20999999999998</v>
      </c>
      <c r="G36" s="22">
        <f>IFERROR('Data Sheet'!F94,0)</f>
        <v>324.77</v>
      </c>
      <c r="H36" s="22">
        <f>IFERROR('Data Sheet'!G94,0)</f>
        <v>324.77</v>
      </c>
      <c r="I36" s="22">
        <f>IFERROR('Data Sheet'!H94,0)</f>
        <v>324.77999999999997</v>
      </c>
      <c r="J36" s="22">
        <f>IFERROR('Data Sheet'!I94,0)</f>
        <v>324.77999999999997</v>
      </c>
      <c r="K36" s="22">
        <f>IFERROR('Data Sheet'!J94,0)</f>
        <v>324.8</v>
      </c>
      <c r="L36" s="22">
        <f>IFERROR('Data Sheet'!K94,0)</f>
        <v>338.15</v>
      </c>
      <c r="M36" s="22">
        <f>L36</f>
        <v>338.15</v>
      </c>
    </row>
    <row r="37" spans="1:13" x14ac:dyDescent="0.2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25">
      <c r="B38" t="s">
        <v>117</v>
      </c>
      <c r="C38" s="22">
        <f>IFERROR(C33/C36,0)</f>
        <v>0.3369661527556238</v>
      </c>
      <c r="D38" s="22">
        <f t="shared" ref="D38:M38" si="18">IFERROR(D33/D36,0)</f>
        <v>6.9100009750707486E-2</v>
      </c>
      <c r="E38" s="22">
        <f t="shared" si="18"/>
        <v>0.64968359565146849</v>
      </c>
      <c r="F38" s="22">
        <f t="shared" si="18"/>
        <v>0.95389507154213093</v>
      </c>
      <c r="G38" s="22">
        <f t="shared" si="18"/>
        <v>1.3095729285340392</v>
      </c>
      <c r="H38" s="22">
        <f t="shared" si="18"/>
        <v>1.1925054654062881</v>
      </c>
      <c r="I38" s="22">
        <f t="shared" si="18"/>
        <v>2.140433524231784</v>
      </c>
      <c r="J38" s="22">
        <f t="shared" si="18"/>
        <v>4.8284685017550286</v>
      </c>
      <c r="K38" s="22">
        <f t="shared" si="18"/>
        <v>6.4860837438423626</v>
      </c>
      <c r="L38" s="22">
        <f t="shared" si="18"/>
        <v>7.6471684163832636</v>
      </c>
      <c r="M38" s="22">
        <f t="shared" si="18"/>
        <v>7.9156587313322531</v>
      </c>
    </row>
    <row r="39" spans="1:13" x14ac:dyDescent="0.25">
      <c r="B39" s="19" t="s">
        <v>75</v>
      </c>
      <c r="C39" s="23" t="s">
        <v>59</v>
      </c>
      <c r="D39" s="23">
        <f>D38/C38-1</f>
        <v>-0.79493486456836948</v>
      </c>
      <c r="E39" s="23">
        <f t="shared" ref="E39:M39" si="19">E38/D38-1</f>
        <v>8.4020767579532318</v>
      </c>
      <c r="F39" s="23">
        <f t="shared" si="19"/>
        <v>0.46824558589264553</v>
      </c>
      <c r="G39" s="23">
        <f t="shared" si="19"/>
        <v>0.37286895341318349</v>
      </c>
      <c r="H39" s="23">
        <f t="shared" si="19"/>
        <v>-8.9393618772189098E-2</v>
      </c>
      <c r="I39" s="23">
        <f t="shared" si="19"/>
        <v>0.79490458226330696</v>
      </c>
      <c r="J39" s="23">
        <f t="shared" si="19"/>
        <v>1.255836701813946</v>
      </c>
      <c r="K39" s="23">
        <f t="shared" si="19"/>
        <v>0.34330041533559386</v>
      </c>
      <c r="L39" s="23">
        <f t="shared" si="19"/>
        <v>0.17901166842675909</v>
      </c>
      <c r="M39" s="23">
        <f t="shared" si="19"/>
        <v>3.510976878366856E-2</v>
      </c>
    </row>
    <row r="40" spans="1:13" x14ac:dyDescent="0.25">
      <c r="G40" s="12"/>
      <c r="H40" s="12"/>
    </row>
    <row r="41" spans="1:13" x14ac:dyDescent="0.25">
      <c r="B41" t="s">
        <v>76</v>
      </c>
      <c r="C41" s="18">
        <f>IFERROR(('Data Sheet'!D31/'Historical''FS'!C36),0)</f>
        <v>0.20224171539961014</v>
      </c>
      <c r="D41" s="18">
        <f>IFERROR(('Data Sheet'!E31/'Historical''FS'!D36),0)</f>
        <v>0.14840575941755776</v>
      </c>
      <c r="E41" s="18">
        <f>IFERROR(('Data Sheet'!F31/'Historical''FS'!E36),0)</f>
        <v>0.23420412136946295</v>
      </c>
      <c r="F41" s="18">
        <f>IFERROR(('Data Sheet'!G31/'Historical''FS'!F36),0)</f>
        <v>0.23415852827617537</v>
      </c>
      <c r="G41" s="18">
        <f>IFERROR(('Data Sheet'!H31/'Historical''FS'!G36),0)</f>
        <v>0.33334359700711275</v>
      </c>
      <c r="H41" s="18">
        <f>IFERROR(('Data Sheet'!I31/'Historical''FS'!H36),0)</f>
        <v>0.70000307910213388</v>
      </c>
      <c r="I41" s="18">
        <f>IFERROR(('Data Sheet'!J31/'Historical''FS'!I36),0)</f>
        <v>1.0000615801465609</v>
      </c>
      <c r="J41" s="18">
        <f>IFERROR(('Data Sheet'!K31/'Historical''FS'!J36),0)</f>
        <v>1.0411663279758605</v>
      </c>
      <c r="K41" s="18">
        <f>IFERROR(('Data Sheet'!L31/'Historical''FS'!K36),0)</f>
        <v>0</v>
      </c>
      <c r="L41" s="18">
        <f>IFERROR(('Data Sheet'!M31/'Historical''FS'!L36),0)</f>
        <v>0</v>
      </c>
      <c r="M41" s="18">
        <f>L41</f>
        <v>0</v>
      </c>
    </row>
    <row r="42" spans="1:13" x14ac:dyDescent="0.25">
      <c r="B42" s="19" t="s">
        <v>77</v>
      </c>
      <c r="C42" s="23">
        <f>IFERROR(C41/C38,0)</f>
        <v>0.60018406521167966</v>
      </c>
      <c r="D42" s="23">
        <f t="shared" ref="D42:M42" si="20">IFERROR(D41/D38,0)</f>
        <v>2.1476952022577436</v>
      </c>
      <c r="E42" s="23">
        <f t="shared" si="20"/>
        <v>0.3604895104895105</v>
      </c>
      <c r="F42" s="23">
        <f t="shared" si="20"/>
        <v>0.24547619047619035</v>
      </c>
      <c r="G42" s="23">
        <f t="shared" si="20"/>
        <v>0.25454374456278955</v>
      </c>
      <c r="H42" s="23">
        <f t="shared" si="20"/>
        <v>0.5870019881742361</v>
      </c>
      <c r="I42" s="23">
        <f t="shared" si="20"/>
        <v>0.46722384452723881</v>
      </c>
      <c r="J42" s="23">
        <f t="shared" si="20"/>
        <v>0.21563075902792414</v>
      </c>
      <c r="K42" s="23">
        <f t="shared" si="20"/>
        <v>0</v>
      </c>
      <c r="L42" s="23">
        <f t="shared" si="20"/>
        <v>0</v>
      </c>
      <c r="M42" s="23">
        <f t="shared" si="20"/>
        <v>0</v>
      </c>
    </row>
    <row r="43" spans="1:13" x14ac:dyDescent="0.25">
      <c r="G43" s="12"/>
      <c r="H43" s="12"/>
    </row>
    <row r="44" spans="1:13" x14ac:dyDescent="0.25">
      <c r="B44" t="s">
        <v>116</v>
      </c>
      <c r="C44" s="28">
        <f>IFERROR(IF(C38&gt;C41,1-C42,0),0)</f>
        <v>0.39981593478832034</v>
      </c>
      <c r="D44" s="28">
        <f t="shared" ref="D44:M44" si="21">IFERROR(IF(D38&gt;D41,1-D42,0),0)</f>
        <v>0</v>
      </c>
      <c r="E44" s="28">
        <f t="shared" si="21"/>
        <v>0.6395104895104895</v>
      </c>
      <c r="F44" s="28">
        <f t="shared" si="21"/>
        <v>0.7545238095238096</v>
      </c>
      <c r="G44" s="28">
        <f t="shared" si="21"/>
        <v>0.74545625543721039</v>
      </c>
      <c r="H44" s="28">
        <f t="shared" si="21"/>
        <v>0.4129980118257639</v>
      </c>
      <c r="I44" s="28">
        <f t="shared" si="21"/>
        <v>0.53277615547276125</v>
      </c>
      <c r="J44" s="28">
        <f t="shared" si="21"/>
        <v>0.78436924097207583</v>
      </c>
      <c r="K44" s="28">
        <f t="shared" si="21"/>
        <v>1</v>
      </c>
      <c r="L44" s="28">
        <f t="shared" si="21"/>
        <v>1</v>
      </c>
      <c r="M44" s="28">
        <f t="shared" si="21"/>
        <v>1</v>
      </c>
    </row>
    <row r="46" spans="1:13" s="17" customFormat="1" x14ac:dyDescent="0.25">
      <c r="A46" s="17" t="s">
        <v>56</v>
      </c>
      <c r="B46" s="17" t="s">
        <v>78</v>
      </c>
    </row>
    <row r="47" spans="1:13" x14ac:dyDescent="0.25">
      <c r="B47" t="s">
        <v>31</v>
      </c>
      <c r="C47" s="18">
        <f>IFERROR('Data Sheet'!B57,0)</f>
        <v>133.77000000000001</v>
      </c>
      <c r="D47" s="18">
        <f>IFERROR('Data Sheet'!C57,0)</f>
        <v>182.31</v>
      </c>
      <c r="E47" s="18">
        <f>IFERROR('Data Sheet'!D57,0)</f>
        <v>182.59</v>
      </c>
      <c r="F47" s="18">
        <f>IFERROR('Data Sheet'!E57,0)</f>
        <v>182.64</v>
      </c>
      <c r="G47" s="18">
        <f>IFERROR('Data Sheet'!F57,0)</f>
        <v>288.69</v>
      </c>
      <c r="H47" s="18">
        <f>IFERROR('Data Sheet'!G57,0)</f>
        <v>288.69</v>
      </c>
      <c r="I47" s="18">
        <f>IFERROR('Data Sheet'!H57,0)</f>
        <v>433.03</v>
      </c>
      <c r="J47" s="18">
        <f>IFERROR('Data Sheet'!I57,0)</f>
        <v>649.54999999999995</v>
      </c>
      <c r="K47" s="18">
        <f>IFERROR('Data Sheet'!J57,0)</f>
        <v>649.61</v>
      </c>
      <c r="L47" s="18">
        <f>IFERROR('Data Sheet'!K57,0)</f>
        <v>676.3</v>
      </c>
      <c r="M47" s="18"/>
    </row>
    <row r="48" spans="1:13" x14ac:dyDescent="0.25">
      <c r="B48" t="s">
        <v>32</v>
      </c>
      <c r="C48" s="18">
        <f>IFERROR('Data Sheet'!B58,0)</f>
        <v>90.51</v>
      </c>
      <c r="D48" s="18">
        <f>IFERROR('Data Sheet'!C58,0)</f>
        <v>1511.28</v>
      </c>
      <c r="E48" s="18">
        <f>IFERROR('Data Sheet'!D58,0)</f>
        <v>1586.84</v>
      </c>
      <c r="F48" s="18">
        <f>IFERROR('Data Sheet'!E58,0)</f>
        <v>1815.86</v>
      </c>
      <c r="G48" s="18">
        <f>IFERROR('Data Sheet'!F58,0)</f>
        <v>3039.73</v>
      </c>
      <c r="H48" s="18">
        <f>IFERROR('Data Sheet'!G58,0)</f>
        <v>3235.31</v>
      </c>
      <c r="I48" s="18">
        <f>IFERROR('Data Sheet'!H58,0)</f>
        <v>3646.88</v>
      </c>
      <c r="J48" s="18">
        <f>IFERROR('Data Sheet'!I58,0)</f>
        <v>4452.83</v>
      </c>
      <c r="K48" s="18">
        <f>IFERROR('Data Sheet'!J58,0)</f>
        <v>6286.89</v>
      </c>
      <c r="L48" s="18">
        <f>IFERROR('Data Sheet'!K58,0)</f>
        <v>15933.53</v>
      </c>
      <c r="M48" s="18"/>
    </row>
    <row r="49" spans="2:13" x14ac:dyDescent="0.25">
      <c r="B49" t="s">
        <v>33</v>
      </c>
      <c r="C49" s="18">
        <f>IFERROR('Data Sheet'!B59,0)</f>
        <v>2527.35</v>
      </c>
      <c r="D49" s="18">
        <f>IFERROR('Data Sheet'!C59,0)</f>
        <v>2215.4</v>
      </c>
      <c r="E49" s="18">
        <f>IFERROR('Data Sheet'!D59,0)</f>
        <v>2653.7</v>
      </c>
      <c r="F49" s="18">
        <f>IFERROR('Data Sheet'!E59,0)</f>
        <v>2807.87</v>
      </c>
      <c r="G49" s="18">
        <f>IFERROR('Data Sheet'!F59,0)</f>
        <v>3417.18</v>
      </c>
      <c r="H49" s="18">
        <f>IFERROR('Data Sheet'!G59,0)</f>
        <v>3216.13</v>
      </c>
      <c r="I49" s="18">
        <f>IFERROR('Data Sheet'!H59,0)</f>
        <v>3386.76</v>
      </c>
      <c r="J49" s="18">
        <f>IFERROR('Data Sheet'!I59,0)</f>
        <v>3883.81</v>
      </c>
      <c r="K49" s="18">
        <f>IFERROR('Data Sheet'!J59,0)</f>
        <v>5431.31</v>
      </c>
      <c r="L49" s="18">
        <f>IFERROR('Data Sheet'!K59,0)</f>
        <v>2826.25</v>
      </c>
      <c r="M49" s="18"/>
    </row>
    <row r="50" spans="2:13" x14ac:dyDescent="0.25">
      <c r="B50" t="s">
        <v>34</v>
      </c>
      <c r="C50" s="18">
        <f>IFERROR('Data Sheet'!B60,0)</f>
        <v>1679.62</v>
      </c>
      <c r="D50" s="18">
        <f>IFERROR('Data Sheet'!C60,0)</f>
        <v>915.43</v>
      </c>
      <c r="E50" s="18">
        <f>IFERROR('Data Sheet'!D60,0)</f>
        <v>852.48</v>
      </c>
      <c r="F50" s="18">
        <f>IFERROR('Data Sheet'!E60,0)</f>
        <v>1191.6400000000001</v>
      </c>
      <c r="G50" s="18">
        <f>IFERROR('Data Sheet'!F60,0)</f>
        <v>1629.98</v>
      </c>
      <c r="H50" s="18">
        <f>IFERROR('Data Sheet'!G60,0)</f>
        <v>1707.24</v>
      </c>
      <c r="I50" s="18">
        <f>IFERROR('Data Sheet'!H60,0)</f>
        <v>2112.81</v>
      </c>
      <c r="J50" s="18">
        <f>IFERROR('Data Sheet'!I60,0)</f>
        <v>2632.05</v>
      </c>
      <c r="K50" s="18">
        <f>IFERROR('Data Sheet'!J60,0)</f>
        <v>2819.37</v>
      </c>
      <c r="L50" s="18">
        <f>IFERROR('Data Sheet'!K60,0)</f>
        <v>3688.21</v>
      </c>
      <c r="M50" s="37"/>
    </row>
    <row r="51" spans="2:13" x14ac:dyDescent="0.25">
      <c r="B51" s="24" t="s">
        <v>79</v>
      </c>
      <c r="C51" s="29">
        <f>SUM(C47:C50)</f>
        <v>4431.25</v>
      </c>
      <c r="D51" s="29">
        <f t="shared" ref="D51:L51" si="22">SUM(D47:D50)</f>
        <v>4824.42</v>
      </c>
      <c r="E51" s="29">
        <f t="shared" si="22"/>
        <v>5275.6099999999988</v>
      </c>
      <c r="F51" s="29">
        <f t="shared" si="22"/>
        <v>5998.01</v>
      </c>
      <c r="G51" s="29">
        <f t="shared" si="22"/>
        <v>8375.58</v>
      </c>
      <c r="H51" s="29">
        <f t="shared" si="22"/>
        <v>8447.3700000000008</v>
      </c>
      <c r="I51" s="29">
        <f t="shared" si="22"/>
        <v>9579.48</v>
      </c>
      <c r="J51" s="29">
        <f t="shared" si="22"/>
        <v>11618.240000000002</v>
      </c>
      <c r="K51" s="29">
        <f t="shared" si="22"/>
        <v>15187.18</v>
      </c>
      <c r="L51" s="29">
        <f t="shared" si="22"/>
        <v>23124.29</v>
      </c>
      <c r="M51" s="38"/>
    </row>
    <row r="52" spans="2:13" x14ac:dyDescent="0.25">
      <c r="M52" s="39"/>
    </row>
    <row r="53" spans="2:13" x14ac:dyDescent="0.25">
      <c r="B53" t="s">
        <v>80</v>
      </c>
      <c r="C53" s="18">
        <f>IFERROR('Data Sheet'!B62,0)</f>
        <v>3495.57</v>
      </c>
      <c r="D53" s="18">
        <f>IFERROR('Data Sheet'!C62,0)</f>
        <v>3715.5</v>
      </c>
      <c r="E53" s="18">
        <f>IFERROR('Data Sheet'!D62,0)</f>
        <v>3980.52</v>
      </c>
      <c r="F53" s="18">
        <f>IFERROR('Data Sheet'!E62,0)</f>
        <v>4386.97</v>
      </c>
      <c r="G53" s="18">
        <f>IFERROR('Data Sheet'!F62,0)</f>
        <v>6479.04</v>
      </c>
      <c r="H53" s="18">
        <f>IFERROR('Data Sheet'!G62,0)</f>
        <v>6408.62</v>
      </c>
      <c r="I53" s="18">
        <f>IFERROR('Data Sheet'!H62,0)</f>
        <v>6310.78</v>
      </c>
      <c r="J53" s="18">
        <f>IFERROR('Data Sheet'!I62,0)</f>
        <v>6932.22</v>
      </c>
      <c r="K53" s="18">
        <f>IFERROR('Data Sheet'!J62,0)</f>
        <v>8409.17</v>
      </c>
      <c r="L53" s="18">
        <f>IFERROR('Data Sheet'!K62,0)</f>
        <v>13401.74</v>
      </c>
      <c r="M53" s="37"/>
    </row>
    <row r="54" spans="2:13" x14ac:dyDescent="0.25">
      <c r="B54" t="s">
        <v>37</v>
      </c>
      <c r="C54" s="18">
        <f>IFERROR('Data Sheet'!B63,0)</f>
        <v>37.909999999999997</v>
      </c>
      <c r="D54" s="18">
        <f>IFERROR('Data Sheet'!C63,0)</f>
        <v>95.58</v>
      </c>
      <c r="E54" s="18">
        <f>IFERROR('Data Sheet'!D63,0)</f>
        <v>145.44</v>
      </c>
      <c r="F54" s="18">
        <f>IFERROR('Data Sheet'!E63,0)</f>
        <v>352.36</v>
      </c>
      <c r="G54" s="18">
        <f>IFERROR('Data Sheet'!F63,0)</f>
        <v>63.82</v>
      </c>
      <c r="H54" s="18">
        <f>IFERROR('Data Sheet'!G63,0)</f>
        <v>66.819999999999993</v>
      </c>
      <c r="I54" s="18">
        <f>IFERROR('Data Sheet'!H63,0)</f>
        <v>496.61</v>
      </c>
      <c r="J54" s="18">
        <f>IFERROR('Data Sheet'!I63,0)</f>
        <v>606.63</v>
      </c>
      <c r="K54" s="18">
        <f>IFERROR('Data Sheet'!J63,0)</f>
        <v>1922.22</v>
      </c>
      <c r="L54" s="18">
        <f>IFERROR('Data Sheet'!K63,0)</f>
        <v>1166.71</v>
      </c>
      <c r="M54" s="37"/>
    </row>
    <row r="55" spans="2:13" x14ac:dyDescent="0.25">
      <c r="B55" t="s">
        <v>38</v>
      </c>
      <c r="C55" s="18">
        <f>IFERROR('Data Sheet'!B64,0)</f>
        <v>3.27</v>
      </c>
      <c r="D55" s="18">
        <f>IFERROR('Data Sheet'!C64,0)</f>
        <v>6.87</v>
      </c>
      <c r="E55" s="18">
        <f>IFERROR('Data Sheet'!D64,0)</f>
        <v>8.23</v>
      </c>
      <c r="F55" s="18">
        <f>IFERROR('Data Sheet'!E64,0)</f>
        <v>11.24</v>
      </c>
      <c r="G55" s="18">
        <f>IFERROR('Data Sheet'!F64,0)</f>
        <v>0</v>
      </c>
      <c r="H55" s="18">
        <f>IFERROR('Data Sheet'!G64,0)</f>
        <v>0</v>
      </c>
      <c r="I55" s="18">
        <f>IFERROR('Data Sheet'!H64,0)</f>
        <v>0</v>
      </c>
      <c r="J55" s="18">
        <f>IFERROR('Data Sheet'!I64,0)</f>
        <v>0.01</v>
      </c>
      <c r="K55" s="18">
        <f>IFERROR('Data Sheet'!J64,0)</f>
        <v>21.08</v>
      </c>
      <c r="L55" s="18">
        <f>IFERROR('Data Sheet'!K64,0)</f>
        <v>59.5</v>
      </c>
      <c r="M55" s="37"/>
    </row>
    <row r="56" spans="2:13" x14ac:dyDescent="0.25">
      <c r="B56" t="s">
        <v>39</v>
      </c>
      <c r="C56" s="18">
        <f>IFERROR('Data Sheet'!B65-SUM('Data Sheet'!B67:B69),0)</f>
        <v>313.8599999999999</v>
      </c>
      <c r="D56" s="18">
        <f>IFERROR('Data Sheet'!C65-SUM('Data Sheet'!C67:C69),0)</f>
        <v>319.49</v>
      </c>
      <c r="E56" s="18">
        <f>IFERROR('Data Sheet'!D65-SUM('Data Sheet'!D67:D69),0)</f>
        <v>457.82000000000005</v>
      </c>
      <c r="F56" s="18">
        <f>IFERROR('Data Sheet'!E65-SUM('Data Sheet'!E67:E69),0)</f>
        <v>447.53000000000009</v>
      </c>
      <c r="G56" s="18">
        <f>IFERROR('Data Sheet'!F65-SUM('Data Sheet'!F67:F69),0)</f>
        <v>607.57000000000016</v>
      </c>
      <c r="H56" s="18">
        <f>IFERROR('Data Sheet'!G65-SUM('Data Sheet'!G67:G69),0)</f>
        <v>611.2800000000002</v>
      </c>
      <c r="I56" s="18">
        <f>IFERROR('Data Sheet'!H65-SUM('Data Sheet'!H67:H69),0)</f>
        <v>766.13000000000011</v>
      </c>
      <c r="J56" s="18">
        <f>IFERROR('Data Sheet'!I65-SUM('Data Sheet'!I67:I69),0)</f>
        <v>1500.88</v>
      </c>
      <c r="K56" s="18">
        <f>IFERROR('Data Sheet'!J65-SUM('Data Sheet'!J67:J69),0)</f>
        <v>1864.9299999999998</v>
      </c>
      <c r="L56" s="18">
        <f>IFERROR('Data Sheet'!K65-SUM('Data Sheet'!K67:K69),0)</f>
        <v>2409.2199999999993</v>
      </c>
      <c r="M56" s="37"/>
    </row>
    <row r="57" spans="2:13" x14ac:dyDescent="0.25">
      <c r="B57" s="24" t="s">
        <v>81</v>
      </c>
      <c r="C57" s="29">
        <f>SUM(C53:C56)</f>
        <v>3850.6099999999997</v>
      </c>
      <c r="D57" s="29">
        <f t="shared" ref="D57:L57" si="23">SUM(D53:D56)</f>
        <v>4137.4399999999996</v>
      </c>
      <c r="E57" s="29">
        <f t="shared" si="23"/>
        <v>4592.0099999999993</v>
      </c>
      <c r="F57" s="29">
        <f t="shared" si="23"/>
        <v>5198.0999999999995</v>
      </c>
      <c r="G57" s="29">
        <f t="shared" si="23"/>
        <v>7150.43</v>
      </c>
      <c r="H57" s="29">
        <f t="shared" si="23"/>
        <v>7086.7199999999993</v>
      </c>
      <c r="I57" s="29">
        <f t="shared" si="23"/>
        <v>7573.5199999999995</v>
      </c>
      <c r="J57" s="29">
        <f t="shared" si="23"/>
        <v>9039.7400000000016</v>
      </c>
      <c r="K57" s="29">
        <f t="shared" si="23"/>
        <v>12217.4</v>
      </c>
      <c r="L57" s="29">
        <f t="shared" si="23"/>
        <v>17037.169999999998</v>
      </c>
      <c r="M57" s="38"/>
    </row>
    <row r="58" spans="2:13" x14ac:dyDescent="0.25"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8"/>
    </row>
    <row r="59" spans="2:13" x14ac:dyDescent="0.25">
      <c r="B59" t="s">
        <v>40</v>
      </c>
      <c r="C59" s="18">
        <f>IFERROR('Data Sheet'!B67,0)</f>
        <v>97.91</v>
      </c>
      <c r="D59" s="18">
        <f>IFERROR('Data Sheet'!C67,0)</f>
        <v>131.35</v>
      </c>
      <c r="E59" s="18">
        <f>IFERROR('Data Sheet'!D67,0)</f>
        <v>150.25</v>
      </c>
      <c r="F59" s="18">
        <f>IFERROR('Data Sheet'!E67,0)</f>
        <v>128.03</v>
      </c>
      <c r="G59" s="18">
        <f>IFERROR('Data Sheet'!F67,0)</f>
        <v>172.56</v>
      </c>
      <c r="H59" s="18">
        <f>IFERROR('Data Sheet'!G67,0)</f>
        <v>241.8</v>
      </c>
      <c r="I59" s="18">
        <f>IFERROR('Data Sheet'!H67,0)</f>
        <v>221.25</v>
      </c>
      <c r="J59" s="18">
        <f>IFERROR('Data Sheet'!I67,0)</f>
        <v>299.33999999999997</v>
      </c>
      <c r="K59" s="18">
        <f>IFERROR('Data Sheet'!J67,0)</f>
        <v>359.39</v>
      </c>
      <c r="L59" s="18">
        <f>IFERROR('Data Sheet'!K67,0)</f>
        <v>845.84</v>
      </c>
      <c r="M59" s="37"/>
    </row>
    <row r="60" spans="2:13" x14ac:dyDescent="0.25">
      <c r="B60" t="s">
        <v>41</v>
      </c>
      <c r="C60" s="18">
        <f>IFERROR('Data Sheet'!B68,0)</f>
        <v>424.66</v>
      </c>
      <c r="D60" s="18">
        <f>IFERROR('Data Sheet'!C68,0)</f>
        <v>489.93</v>
      </c>
      <c r="E60" s="18">
        <f>IFERROR('Data Sheet'!D68,0)</f>
        <v>438.89</v>
      </c>
      <c r="F60" s="18">
        <f>IFERROR('Data Sheet'!E68,0)</f>
        <v>578.4</v>
      </c>
      <c r="G60" s="18">
        <f>IFERROR('Data Sheet'!F68,0)</f>
        <v>881.51</v>
      </c>
      <c r="H60" s="18">
        <f>IFERROR('Data Sheet'!G68,0)</f>
        <v>928.8</v>
      </c>
      <c r="I60" s="18">
        <f>IFERROR('Data Sheet'!H68,0)</f>
        <v>1448.09</v>
      </c>
      <c r="J60" s="18">
        <f>IFERROR('Data Sheet'!I68,0)</f>
        <v>1993.89</v>
      </c>
      <c r="K60" s="18">
        <f>IFERROR('Data Sheet'!J68,0)</f>
        <v>2150.5300000000002</v>
      </c>
      <c r="L60" s="18">
        <f>IFERROR('Data Sheet'!K68,0)</f>
        <v>2791.23</v>
      </c>
      <c r="M60" s="37"/>
    </row>
    <row r="61" spans="2:13" x14ac:dyDescent="0.25">
      <c r="B61" t="s">
        <v>42</v>
      </c>
      <c r="C61" s="18">
        <f>IFERROR('Data Sheet'!B69,0)</f>
        <v>58.07</v>
      </c>
      <c r="D61" s="18">
        <f>IFERROR('Data Sheet'!C69,0)</f>
        <v>65.7</v>
      </c>
      <c r="E61" s="18">
        <f>IFERROR('Data Sheet'!D69,0)</f>
        <v>94.46</v>
      </c>
      <c r="F61" s="18">
        <f>IFERROR('Data Sheet'!E69,0)</f>
        <v>93.48</v>
      </c>
      <c r="G61" s="18">
        <f>IFERROR('Data Sheet'!F69,0)</f>
        <v>171.08</v>
      </c>
      <c r="H61" s="18">
        <f>IFERROR('Data Sheet'!G69,0)</f>
        <v>190.05</v>
      </c>
      <c r="I61" s="18">
        <f>IFERROR('Data Sheet'!H69,0)</f>
        <v>336.62</v>
      </c>
      <c r="J61" s="18">
        <f>IFERROR('Data Sheet'!I69,0)</f>
        <v>285.27</v>
      </c>
      <c r="K61" s="18">
        <f>IFERROR('Data Sheet'!J69,0)</f>
        <v>459.86</v>
      </c>
      <c r="L61" s="18">
        <f>IFERROR('Data Sheet'!K69,0)</f>
        <v>2450.0500000000002</v>
      </c>
      <c r="M61" s="37"/>
    </row>
    <row r="62" spans="2:13" x14ac:dyDescent="0.25">
      <c r="B62" s="24" t="s">
        <v>82</v>
      </c>
      <c r="C62" s="29">
        <f>SUM(C59:C61)</f>
        <v>580.6400000000001</v>
      </c>
      <c r="D62" s="29">
        <f t="shared" ref="D62:L62" si="24">SUM(D59:D61)</f>
        <v>686.98</v>
      </c>
      <c r="E62" s="29">
        <f t="shared" si="24"/>
        <v>683.6</v>
      </c>
      <c r="F62" s="29">
        <f t="shared" si="24"/>
        <v>799.91</v>
      </c>
      <c r="G62" s="29">
        <f t="shared" si="24"/>
        <v>1225.1499999999999</v>
      </c>
      <c r="H62" s="29">
        <f t="shared" si="24"/>
        <v>1360.6499999999999</v>
      </c>
      <c r="I62" s="29">
        <f t="shared" si="24"/>
        <v>2005.96</v>
      </c>
      <c r="J62" s="29">
        <f t="shared" si="24"/>
        <v>2578.5</v>
      </c>
      <c r="K62" s="29">
        <f t="shared" si="24"/>
        <v>2969.78</v>
      </c>
      <c r="L62" s="29">
        <f t="shared" si="24"/>
        <v>6087.1200000000008</v>
      </c>
      <c r="M62" s="38"/>
    </row>
    <row r="63" spans="2:13" x14ac:dyDescent="0.25">
      <c r="M63" s="39"/>
    </row>
    <row r="64" spans="2:13" x14ac:dyDescent="0.25">
      <c r="B64" s="24" t="s">
        <v>118</v>
      </c>
      <c r="C64" s="24">
        <f>IFERROR(SUM(C57,C62),0)</f>
        <v>4431.25</v>
      </c>
      <c r="D64" s="24">
        <f t="shared" ref="D64:L64" si="25">IFERROR(SUM(D57,D62),0)</f>
        <v>4824.42</v>
      </c>
      <c r="E64" s="24">
        <f t="shared" si="25"/>
        <v>5275.61</v>
      </c>
      <c r="F64" s="24">
        <f t="shared" si="25"/>
        <v>5998.0099999999993</v>
      </c>
      <c r="G64" s="24">
        <f t="shared" si="25"/>
        <v>8375.58</v>
      </c>
      <c r="H64" s="24">
        <f t="shared" si="25"/>
        <v>8447.369999999999</v>
      </c>
      <c r="I64" s="24">
        <f t="shared" si="25"/>
        <v>9579.48</v>
      </c>
      <c r="J64" s="24">
        <f t="shared" si="25"/>
        <v>11618.240000000002</v>
      </c>
      <c r="K64" s="24">
        <f t="shared" si="25"/>
        <v>15187.18</v>
      </c>
      <c r="L64" s="24">
        <f t="shared" si="25"/>
        <v>23124.29</v>
      </c>
      <c r="M64" s="40"/>
    </row>
    <row r="65" spans="1:13" x14ac:dyDescent="0.25">
      <c r="M65" s="39"/>
    </row>
    <row r="66" spans="1:13" x14ac:dyDescent="0.25">
      <c r="B66" s="30" t="s">
        <v>83</v>
      </c>
      <c r="C66" t="b">
        <f>C64=C51</f>
        <v>1</v>
      </c>
      <c r="D66" t="b">
        <f t="shared" ref="D66:L66" si="26">D64=D51</f>
        <v>1</v>
      </c>
      <c r="E66" t="b">
        <f t="shared" si="26"/>
        <v>1</v>
      </c>
      <c r="F66" t="b">
        <f t="shared" si="26"/>
        <v>1</v>
      </c>
      <c r="G66" t="b">
        <f t="shared" si="26"/>
        <v>1</v>
      </c>
      <c r="H66" t="b">
        <f t="shared" si="26"/>
        <v>1</v>
      </c>
      <c r="I66" t="b">
        <f t="shared" si="26"/>
        <v>1</v>
      </c>
      <c r="J66" t="b">
        <f t="shared" si="26"/>
        <v>1</v>
      </c>
      <c r="K66" t="b">
        <f t="shared" si="26"/>
        <v>1</v>
      </c>
      <c r="L66" t="b">
        <f t="shared" si="26"/>
        <v>1</v>
      </c>
    </row>
    <row r="68" spans="1:13" s="32" customFormat="1" x14ac:dyDescent="0.25">
      <c r="A68" s="32" t="s">
        <v>56</v>
      </c>
      <c r="B68" s="32" t="s">
        <v>84</v>
      </c>
    </row>
    <row r="69" spans="1:13" x14ac:dyDescent="0.25">
      <c r="B69" t="s">
        <v>85</v>
      </c>
    </row>
    <row r="70" spans="1:13" x14ac:dyDescent="0.25">
      <c r="B70" t="s">
        <v>86</v>
      </c>
      <c r="C70" s="18">
        <f>IFERROR('CF Data'!E3,0)</f>
        <v>555</v>
      </c>
      <c r="D70" s="18">
        <f>IFERROR('CF Data'!F3,0)</f>
        <v>826</v>
      </c>
      <c r="E70" s="18">
        <f>IFERROR('CF Data'!G3,0)</f>
        <v>620</v>
      </c>
      <c r="F70" s="18">
        <f>IFERROR('CF Data'!H3,0)</f>
        <v>1000</v>
      </c>
      <c r="G70" s="18">
        <f>IFERROR('CF Data'!I3,0)</f>
        <v>1308</v>
      </c>
      <c r="H70" s="18">
        <f>IFERROR('CF Data'!J3,0)</f>
        <v>1012</v>
      </c>
      <c r="I70" s="18">
        <f>IFERROR('CF Data'!K3,0)</f>
        <v>1231</v>
      </c>
      <c r="J70" s="18">
        <f>IFERROR('CF Data'!L3,0)</f>
        <v>1790</v>
      </c>
      <c r="K70" s="18">
        <f>IFERROR('CF Data'!M3,0)</f>
        <v>2391</v>
      </c>
      <c r="L70" s="18">
        <f>IFERROR('CF Data'!N3,0)</f>
        <v>3381</v>
      </c>
      <c r="M70" s="18"/>
    </row>
    <row r="71" spans="1:13" x14ac:dyDescent="0.25">
      <c r="B71" t="s">
        <v>40</v>
      </c>
      <c r="C71" s="18">
        <f>IFERROR('CF Data'!E4,0)</f>
        <v>645</v>
      </c>
      <c r="D71" s="18">
        <f>IFERROR('CF Data'!F4,0)</f>
        <v>820</v>
      </c>
      <c r="E71" s="18">
        <f>IFERROR('CF Data'!G4,0)</f>
        <v>873</v>
      </c>
      <c r="F71" s="18">
        <f>IFERROR('CF Data'!H4,0)</f>
        <v>1123</v>
      </c>
      <c r="G71" s="18">
        <f>IFERROR('CF Data'!I4,0)</f>
        <v>1513</v>
      </c>
      <c r="H71" s="18">
        <f>IFERROR('CF Data'!J4,0)</f>
        <v>1200</v>
      </c>
      <c r="I71" s="18">
        <f>IFERROR('CF Data'!K4,0)</f>
        <v>1624</v>
      </c>
      <c r="J71" s="18">
        <f>IFERROR('CF Data'!L4,0)</f>
        <v>2749</v>
      </c>
      <c r="K71" s="18">
        <f>IFERROR('CF Data'!M4,0)</f>
        <v>3732</v>
      </c>
      <c r="L71" s="18">
        <f>IFERROR('CF Data'!N4,0)</f>
        <v>4778</v>
      </c>
    </row>
    <row r="72" spans="1:13" x14ac:dyDescent="0.25">
      <c r="B72" t="s">
        <v>41</v>
      </c>
      <c r="C72" s="18">
        <f>IFERROR('CF Data'!E5,0)</f>
        <v>0</v>
      </c>
      <c r="D72" s="18">
        <f>IFERROR('CF Data'!F5,0)</f>
        <v>7</v>
      </c>
      <c r="E72" s="18">
        <f>IFERROR('CF Data'!G5,0)</f>
        <v>-34</v>
      </c>
      <c r="F72" s="18">
        <f>IFERROR('CF Data'!H5,0)</f>
        <v>-13</v>
      </c>
      <c r="G72" s="18">
        <f>IFERROR('CF Data'!I5,0)</f>
        <v>-32</v>
      </c>
      <c r="H72" s="18">
        <f>IFERROR('CF Data'!J5,0)</f>
        <v>-76</v>
      </c>
      <c r="I72" s="18">
        <f>IFERROR('CF Data'!K5,0)</f>
        <v>15</v>
      </c>
      <c r="J72" s="18">
        <f>IFERROR('CF Data'!L5,0)</f>
        <v>-123</v>
      </c>
      <c r="K72" s="18">
        <f>IFERROR('CF Data'!M5,0)</f>
        <v>-73</v>
      </c>
      <c r="L72" s="18">
        <f>IFERROR('CF Data'!N5,0)</f>
        <v>-133</v>
      </c>
    </row>
    <row r="73" spans="1:13" x14ac:dyDescent="0.25">
      <c r="B73" t="s">
        <v>87</v>
      </c>
      <c r="C73" s="18">
        <f>IFERROR('CF Data'!E6,0)</f>
        <v>-135</v>
      </c>
      <c r="D73" s="18">
        <f>IFERROR('CF Data'!F6,0)</f>
        <v>-39</v>
      </c>
      <c r="E73" s="18">
        <f>IFERROR('CF Data'!G6,0)</f>
        <v>45</v>
      </c>
      <c r="F73" s="18">
        <f>IFERROR('CF Data'!H6,0)</f>
        <v>-151</v>
      </c>
      <c r="G73" s="18">
        <f>IFERROR('CF Data'!I6,0)</f>
        <v>-185</v>
      </c>
      <c r="H73" s="18">
        <f>IFERROR('CF Data'!J6,0)</f>
        <v>-47</v>
      </c>
      <c r="I73" s="18">
        <f>IFERROR('CF Data'!K6,0)</f>
        <v>-519</v>
      </c>
      <c r="J73" s="18">
        <f>IFERROR('CF Data'!L6,0)</f>
        <v>-557</v>
      </c>
      <c r="K73" s="18">
        <f>IFERROR('CF Data'!M6,0)</f>
        <v>-160</v>
      </c>
      <c r="L73" s="18">
        <f>IFERROR('CF Data'!N6,0)</f>
        <v>-479</v>
      </c>
    </row>
    <row r="74" spans="1:13" x14ac:dyDescent="0.25">
      <c r="B74" t="s">
        <v>88</v>
      </c>
      <c r="C74" s="18">
        <f>IFERROR('CF Data'!E7,0)</f>
        <v>149</v>
      </c>
      <c r="D74" s="18">
        <f>IFERROR('CF Data'!F7,0)</f>
        <v>0</v>
      </c>
      <c r="E74" s="18">
        <f>IFERROR('CF Data'!G7,0)</f>
        <v>0</v>
      </c>
      <c r="F74" s="18">
        <f>IFERROR('CF Data'!H7,0)</f>
        <v>0</v>
      </c>
      <c r="G74" s="18">
        <f>IFERROR('CF Data'!I7,0)</f>
        <v>0</v>
      </c>
      <c r="H74" s="18">
        <f>IFERROR('CF Data'!J7,0)</f>
        <v>0</v>
      </c>
      <c r="I74" s="18">
        <f>IFERROR('CF Data'!K7,0)</f>
        <v>0</v>
      </c>
      <c r="J74" s="18">
        <f>IFERROR('CF Data'!L7,0)</f>
        <v>0</v>
      </c>
      <c r="K74" s="18">
        <f>IFERROR('CF Data'!M7,0)</f>
        <v>0</v>
      </c>
      <c r="L74" s="18">
        <f>IFERROR('CF Data'!N7,0)</f>
        <v>0</v>
      </c>
    </row>
    <row r="75" spans="1:13" x14ac:dyDescent="0.25">
      <c r="B75" t="s">
        <v>89</v>
      </c>
      <c r="C75" s="18">
        <f>IFERROR('CF Data'!E8,0)</f>
        <v>-56</v>
      </c>
      <c r="D75" s="18">
        <f>IFERROR('CF Data'!F8,0)</f>
        <v>0</v>
      </c>
      <c r="E75" s="18">
        <f>IFERROR('CF Data'!G8,0)</f>
        <v>0</v>
      </c>
      <c r="F75" s="18">
        <f>IFERROR('CF Data'!H8,0)</f>
        <v>0</v>
      </c>
      <c r="G75" s="18">
        <f>IFERROR('CF Data'!I8,0)</f>
        <v>0</v>
      </c>
      <c r="H75" s="18">
        <f>IFERROR('CF Data'!J8,0)</f>
        <v>0</v>
      </c>
      <c r="I75" s="18">
        <f>IFERROR('CF Data'!K8,0)</f>
        <v>0</v>
      </c>
      <c r="J75" s="18">
        <f>IFERROR('CF Data'!L8,0)</f>
        <v>0</v>
      </c>
      <c r="K75" s="18">
        <f>IFERROR('CF Data'!M8,0)</f>
        <v>0</v>
      </c>
      <c r="L75" s="18">
        <f>IFERROR('CF Data'!N8,0)</f>
        <v>0</v>
      </c>
    </row>
    <row r="76" spans="1:13" x14ac:dyDescent="0.25">
      <c r="B76" t="s">
        <v>90</v>
      </c>
      <c r="C76" s="18">
        <f>IFERROR('CF Data'!E9,0)</f>
        <v>0</v>
      </c>
      <c r="D76" s="18">
        <f>IFERROR('CF Data'!F9,0)</f>
        <v>95</v>
      </c>
      <c r="E76" s="18">
        <f>IFERROR('CF Data'!G9,0)</f>
        <v>-207</v>
      </c>
      <c r="F76" s="18">
        <f>IFERROR('CF Data'!H9,0)</f>
        <v>114</v>
      </c>
      <c r="G76" s="18">
        <f>IFERROR('CF Data'!I9,0)</f>
        <v>132</v>
      </c>
      <c r="H76" s="18">
        <f>IFERROR('CF Data'!J9,0)</f>
        <v>12</v>
      </c>
      <c r="I76" s="18">
        <f>IFERROR('CF Data'!K9,0)</f>
        <v>236</v>
      </c>
      <c r="J76" s="18">
        <f>IFERROR('CF Data'!L9,0)</f>
        <v>95</v>
      </c>
      <c r="K76" s="18">
        <f>IFERROR('CF Data'!M9,0)</f>
        <v>-440</v>
      </c>
      <c r="L76" s="18">
        <f>IFERROR('CF Data'!N9,0)</f>
        <v>-57</v>
      </c>
    </row>
    <row r="77" spans="1:13" x14ac:dyDescent="0.25">
      <c r="B77" t="s">
        <v>91</v>
      </c>
      <c r="C77" s="18">
        <f>IFERROR('CF Data'!E10,0)</f>
        <v>-42</v>
      </c>
      <c r="D77" s="18">
        <f>IFERROR('CF Data'!F10,0)</f>
        <v>64</v>
      </c>
      <c r="E77" s="18">
        <f>IFERROR('CF Data'!G10,0)</f>
        <v>-197</v>
      </c>
      <c r="F77" s="18">
        <f>IFERROR('CF Data'!H10,0)</f>
        <v>-50</v>
      </c>
      <c r="G77" s="18">
        <f>IFERROR('CF Data'!I10,0)</f>
        <v>-85</v>
      </c>
      <c r="H77" s="18">
        <f>IFERROR('CF Data'!J10,0)</f>
        <v>-111</v>
      </c>
      <c r="I77" s="18">
        <f>IFERROR('CF Data'!K10,0)</f>
        <v>-269</v>
      </c>
      <c r="J77" s="18">
        <f>IFERROR('CF Data'!L10,0)</f>
        <v>-585</v>
      </c>
      <c r="K77" s="18">
        <f>IFERROR('CF Data'!M10,0)</f>
        <v>-673</v>
      </c>
      <c r="L77" s="18">
        <f>IFERROR('CF Data'!N10,0)</f>
        <v>-669</v>
      </c>
    </row>
    <row r="78" spans="1:13" x14ac:dyDescent="0.25">
      <c r="B78" s="30" t="s">
        <v>92</v>
      </c>
      <c r="C78" s="31">
        <f>IFERROR(SUM(C70:C77),0)</f>
        <v>1116</v>
      </c>
      <c r="D78" s="31">
        <f t="shared" ref="D78:L78" si="27">IFERROR(SUM(D70:D77),0)</f>
        <v>1773</v>
      </c>
      <c r="E78" s="31">
        <f t="shared" si="27"/>
        <v>1100</v>
      </c>
      <c r="F78" s="31">
        <f t="shared" si="27"/>
        <v>2023</v>
      </c>
      <c r="G78" s="31">
        <f t="shared" si="27"/>
        <v>2651</v>
      </c>
      <c r="H78" s="31">
        <f t="shared" si="27"/>
        <v>1990</v>
      </c>
      <c r="I78" s="31">
        <f t="shared" si="27"/>
        <v>2318</v>
      </c>
      <c r="J78" s="31">
        <f t="shared" si="27"/>
        <v>3369</v>
      </c>
      <c r="K78" s="31">
        <f t="shared" si="27"/>
        <v>4777</v>
      </c>
      <c r="L78" s="31">
        <f t="shared" si="27"/>
        <v>6821</v>
      </c>
    </row>
    <row r="80" spans="1:13" x14ac:dyDescent="0.25">
      <c r="B80" t="s">
        <v>93</v>
      </c>
    </row>
    <row r="81" spans="2:12" x14ac:dyDescent="0.25">
      <c r="B81" t="s">
        <v>94</v>
      </c>
      <c r="C81" s="18">
        <f>IFERROR('CF Data'!C13,0)</f>
        <v>-578</v>
      </c>
      <c r="D81" s="18">
        <f>IFERROR('CF Data'!D13,0)</f>
        <v>-220</v>
      </c>
      <c r="E81" s="18">
        <f>IFERROR('CF Data'!E13,0)</f>
        <v>-269</v>
      </c>
      <c r="F81" s="18">
        <f>IFERROR('CF Data'!F13,0)</f>
        <v>-792</v>
      </c>
      <c r="G81" s="18">
        <f>IFERROR('CF Data'!G13,0)</f>
        <v>-533</v>
      </c>
      <c r="H81" s="18">
        <f>IFERROR('CF Data'!H13,0)</f>
        <v>-859</v>
      </c>
      <c r="I81" s="18">
        <f>IFERROR('CF Data'!I13,0)</f>
        <v>-754</v>
      </c>
      <c r="J81" s="18">
        <f>IFERROR('CF Data'!J13,0)</f>
        <v>-560</v>
      </c>
      <c r="K81" s="18">
        <f>IFERROR('CF Data'!K13,0)</f>
        <v>-835</v>
      </c>
      <c r="L81" s="18">
        <f>IFERROR('CF Data'!L13,0)</f>
        <v>-1801</v>
      </c>
    </row>
    <row r="82" spans="2:12" x14ac:dyDescent="0.25">
      <c r="B82" t="s">
        <v>95</v>
      </c>
      <c r="C82" s="18">
        <f>IFERROR('CF Data'!C14,0)</f>
        <v>0</v>
      </c>
      <c r="D82" s="18">
        <f>IFERROR('CF Data'!D14,0)</f>
        <v>0</v>
      </c>
      <c r="E82" s="18">
        <f>IFERROR('CF Data'!E14,0)</f>
        <v>4</v>
      </c>
      <c r="F82" s="18">
        <f>IFERROR('CF Data'!F14,0)</f>
        <v>12</v>
      </c>
      <c r="G82" s="18">
        <f>IFERROR('CF Data'!G14,0)</f>
        <v>17</v>
      </c>
      <c r="H82" s="18">
        <f>IFERROR('CF Data'!H14,0)</f>
        <v>50</v>
      </c>
      <c r="I82" s="18">
        <f>IFERROR('CF Data'!I14,0)</f>
        <v>21</v>
      </c>
      <c r="J82" s="18">
        <f>IFERROR('CF Data'!J14,0)</f>
        <v>24</v>
      </c>
      <c r="K82" s="18">
        <f>IFERROR('CF Data'!K14,0)</f>
        <v>19</v>
      </c>
      <c r="L82" s="18">
        <f>IFERROR('CF Data'!L14,0)</f>
        <v>51</v>
      </c>
    </row>
    <row r="83" spans="2:12" x14ac:dyDescent="0.25">
      <c r="B83" t="s">
        <v>96</v>
      </c>
      <c r="C83" s="18">
        <f>IFERROR('CF Data'!C15,0)</f>
        <v>0</v>
      </c>
      <c r="D83" s="18">
        <f>IFERROR('CF Data'!D15,0)</f>
        <v>-302</v>
      </c>
      <c r="E83" s="18">
        <f>IFERROR('CF Data'!E15,0)</f>
        <v>-550</v>
      </c>
      <c r="F83" s="18">
        <f>IFERROR('CF Data'!F15,0)</f>
        <v>-35</v>
      </c>
      <c r="G83" s="18">
        <f>IFERROR('CF Data'!G15,0)</f>
        <v>-35</v>
      </c>
      <c r="H83" s="18">
        <f>IFERROR('CF Data'!H15,0)</f>
        <v>0</v>
      </c>
      <c r="I83" s="18">
        <f>IFERROR('CF Data'!I15,0)</f>
        <v>-73</v>
      </c>
      <c r="J83" s="18">
        <f>IFERROR('CF Data'!J15,0)</f>
        <v>0</v>
      </c>
      <c r="K83" s="18">
        <f>IFERROR('CF Data'!K15,0)</f>
        <v>0</v>
      </c>
      <c r="L83" s="18">
        <f>IFERROR('CF Data'!L15,0)</f>
        <v>0</v>
      </c>
    </row>
    <row r="84" spans="2:12" x14ac:dyDescent="0.25">
      <c r="B84" t="s">
        <v>97</v>
      </c>
      <c r="C84" s="18">
        <f>IFERROR('CF Data'!C16,0)</f>
        <v>0</v>
      </c>
      <c r="D84" s="18">
        <f>IFERROR('CF Data'!D16,0)</f>
        <v>8</v>
      </c>
      <c r="E84" s="18">
        <f>IFERROR('CF Data'!E16,0)</f>
        <v>512</v>
      </c>
      <c r="F84" s="18">
        <f>IFERROR('CF Data'!F16,0)</f>
        <v>35</v>
      </c>
      <c r="G84" s="18">
        <f>IFERROR('CF Data'!G16,0)</f>
        <v>35</v>
      </c>
      <c r="H84" s="18">
        <f>IFERROR('CF Data'!H16,0)</f>
        <v>0</v>
      </c>
      <c r="I84" s="18">
        <f>IFERROR('CF Data'!I16,0)</f>
        <v>73</v>
      </c>
      <c r="J84" s="18">
        <f>IFERROR('CF Data'!J16,0)</f>
        <v>0</v>
      </c>
      <c r="K84" s="18">
        <f>IFERROR('CF Data'!K16,0)</f>
        <v>0</v>
      </c>
      <c r="L84" s="18">
        <f>IFERROR('CF Data'!L16,0)</f>
        <v>0</v>
      </c>
    </row>
    <row r="85" spans="2:12" x14ac:dyDescent="0.25">
      <c r="B85" t="s">
        <v>98</v>
      </c>
      <c r="C85" s="18">
        <f>IFERROR('CF Data'!C17,0)</f>
        <v>4</v>
      </c>
      <c r="D85" s="18">
        <f>IFERROR('CF Data'!D17,0)</f>
        <v>12</v>
      </c>
      <c r="E85" s="18">
        <f>IFERROR('CF Data'!E17,0)</f>
        <v>6</v>
      </c>
      <c r="F85" s="18">
        <f>IFERROR('CF Data'!F17,0)</f>
        <v>8</v>
      </c>
      <c r="G85" s="18">
        <f>IFERROR('CF Data'!G17,0)</f>
        <v>5</v>
      </c>
      <c r="H85" s="18">
        <f>IFERROR('CF Data'!H17,0)</f>
        <v>6</v>
      </c>
      <c r="I85" s="18">
        <f>IFERROR('CF Data'!I17,0)</f>
        <v>5</v>
      </c>
      <c r="J85" s="18">
        <f>IFERROR('CF Data'!J17,0)</f>
        <v>9</v>
      </c>
      <c r="K85" s="18">
        <f>IFERROR('CF Data'!K17,0)</f>
        <v>13</v>
      </c>
      <c r="L85" s="18">
        <f>IFERROR('CF Data'!L17,0)</f>
        <v>23</v>
      </c>
    </row>
    <row r="86" spans="2:12" x14ac:dyDescent="0.25">
      <c r="B86" t="s">
        <v>99</v>
      </c>
      <c r="C86" s="18">
        <f>IFERROR('CF Data'!C18,0)</f>
        <v>0</v>
      </c>
      <c r="D86" s="18">
        <f>IFERROR('CF Data'!D18,0)</f>
        <v>2</v>
      </c>
      <c r="E86" s="18">
        <f>IFERROR('CF Data'!E18,0)</f>
        <v>0</v>
      </c>
      <c r="F86" s="18">
        <f>IFERROR('CF Data'!F18,0)</f>
        <v>0</v>
      </c>
      <c r="G86" s="18">
        <f>IFERROR('CF Data'!G18,0)</f>
        <v>0</v>
      </c>
      <c r="H86" s="18">
        <f>IFERROR('CF Data'!H18,0)</f>
        <v>0</v>
      </c>
      <c r="I86" s="18">
        <f>IFERROR('CF Data'!I18,0)</f>
        <v>0</v>
      </c>
      <c r="J86" s="18">
        <f>IFERROR('CF Data'!J18,0)</f>
        <v>0</v>
      </c>
      <c r="K86" s="18">
        <f>IFERROR('CF Data'!K18,0)</f>
        <v>0</v>
      </c>
      <c r="L86" s="18">
        <f>IFERROR('CF Data'!L18,0)</f>
        <v>0</v>
      </c>
    </row>
    <row r="87" spans="2:12" x14ac:dyDescent="0.25">
      <c r="B87" t="s">
        <v>100</v>
      </c>
      <c r="C87" s="18">
        <f>IFERROR('CF Data'!C19,0)</f>
        <v>0</v>
      </c>
      <c r="D87" s="18">
        <f>IFERROR('CF Data'!D19,0)</f>
        <v>0</v>
      </c>
      <c r="E87" s="18">
        <f>IFERROR('CF Data'!E19,0)</f>
        <v>0</v>
      </c>
      <c r="F87" s="18">
        <f>IFERROR('CF Data'!F19,0)</f>
        <v>0</v>
      </c>
      <c r="G87" s="18">
        <f>IFERROR('CF Data'!G19,0)</f>
        <v>0</v>
      </c>
      <c r="H87" s="18">
        <f>IFERROR('CF Data'!H19,0)</f>
        <v>0</v>
      </c>
      <c r="I87" s="18">
        <f>IFERROR('CF Data'!I19,0)</f>
        <v>0</v>
      </c>
      <c r="J87" s="18">
        <f>IFERROR('CF Data'!J19,0)</f>
        <v>0</v>
      </c>
      <c r="K87" s="18">
        <f>IFERROR('CF Data'!K19,0)</f>
        <v>0</v>
      </c>
      <c r="L87" s="18">
        <f>IFERROR('CF Data'!L19,0)</f>
        <v>0</v>
      </c>
    </row>
    <row r="88" spans="2:12" x14ac:dyDescent="0.25">
      <c r="B88" t="s">
        <v>101</v>
      </c>
      <c r="C88" s="18">
        <f>IFERROR('CF Data'!C20,0)</f>
        <v>0</v>
      </c>
      <c r="D88" s="18">
        <f>IFERROR('CF Data'!D20,0)</f>
        <v>0</v>
      </c>
      <c r="E88" s="18">
        <f>IFERROR('CF Data'!E20,0)</f>
        <v>0</v>
      </c>
      <c r="F88" s="18">
        <f>IFERROR('CF Data'!F20,0)</f>
        <v>-276</v>
      </c>
      <c r="G88" s="18">
        <f>IFERROR('CF Data'!G20,0)</f>
        <v>-212</v>
      </c>
      <c r="H88" s="18">
        <f>IFERROR('CF Data'!H20,0)</f>
        <v>0</v>
      </c>
      <c r="I88" s="18">
        <f>IFERROR('CF Data'!I20,0)</f>
        <v>-8</v>
      </c>
      <c r="J88" s="18">
        <f>IFERROR('CF Data'!J20,0)</f>
        <v>0</v>
      </c>
      <c r="K88" s="18">
        <f>IFERROR('CF Data'!K20,0)</f>
        <v>0</v>
      </c>
      <c r="L88" s="18">
        <f>IFERROR('CF Data'!L20,0)</f>
        <v>0</v>
      </c>
    </row>
    <row r="89" spans="2:12" x14ac:dyDescent="0.25">
      <c r="B89" t="s">
        <v>102</v>
      </c>
      <c r="C89" s="18">
        <f>IFERROR('CF Data'!C21,0)</f>
        <v>0</v>
      </c>
      <c r="D89" s="18">
        <f>IFERROR('CF Data'!D21,0)</f>
        <v>0</v>
      </c>
      <c r="E89" s="18">
        <f>IFERROR('CF Data'!E21,0)</f>
        <v>-4</v>
      </c>
      <c r="F89" s="18">
        <f>IFERROR('CF Data'!F21,0)</f>
        <v>0</v>
      </c>
      <c r="G89" s="18">
        <f>IFERROR('CF Data'!G21,0)</f>
        <v>-23</v>
      </c>
      <c r="H89" s="18">
        <f>IFERROR('CF Data'!H21,0)</f>
        <v>-134</v>
      </c>
      <c r="I89" s="18">
        <f>IFERROR('CF Data'!I21,0)</f>
        <v>-1583</v>
      </c>
      <c r="J89" s="18">
        <f>IFERROR('CF Data'!J21,0)</f>
        <v>55</v>
      </c>
      <c r="K89" s="18">
        <f>IFERROR('CF Data'!K21,0)</f>
        <v>-205</v>
      </c>
      <c r="L89" s="18">
        <f>IFERROR('CF Data'!L21,0)</f>
        <v>-42</v>
      </c>
    </row>
    <row r="90" spans="2:12" x14ac:dyDescent="0.25">
      <c r="B90" s="30" t="s">
        <v>103</v>
      </c>
      <c r="C90" s="31">
        <f>IFERROR(SUM(C81:C89),0)</f>
        <v>-574</v>
      </c>
      <c r="D90" s="31">
        <f t="shared" ref="D90:L90" si="28">IFERROR(SUM(D81:D89),0)</f>
        <v>-500</v>
      </c>
      <c r="E90" s="31">
        <f t="shared" si="28"/>
        <v>-301</v>
      </c>
      <c r="F90" s="31">
        <f t="shared" si="28"/>
        <v>-1048</v>
      </c>
      <c r="G90" s="31">
        <f t="shared" si="28"/>
        <v>-746</v>
      </c>
      <c r="H90" s="31">
        <f t="shared" si="28"/>
        <v>-937</v>
      </c>
      <c r="I90" s="31">
        <f t="shared" si="28"/>
        <v>-2319</v>
      </c>
      <c r="J90" s="31">
        <f t="shared" si="28"/>
        <v>-472</v>
      </c>
      <c r="K90" s="31">
        <f t="shared" si="28"/>
        <v>-1008</v>
      </c>
      <c r="L90" s="31">
        <f t="shared" si="28"/>
        <v>-1769</v>
      </c>
    </row>
    <row r="92" spans="2:12" x14ac:dyDescent="0.25">
      <c r="B92" t="s">
        <v>104</v>
      </c>
    </row>
    <row r="93" spans="2:12" x14ac:dyDescent="0.25">
      <c r="B93" t="s">
        <v>105</v>
      </c>
      <c r="C93" s="18">
        <f>IFERROR('CF Data'!C23,0)</f>
        <v>40</v>
      </c>
      <c r="D93" s="18">
        <f>IFERROR('CF Data'!D23,0)</f>
        <v>240</v>
      </c>
      <c r="E93" s="18">
        <f>IFERROR('CF Data'!E23,0)</f>
        <v>0</v>
      </c>
      <c r="F93" s="18">
        <f>IFERROR('CF Data'!F23,0)</f>
        <v>701</v>
      </c>
      <c r="G93" s="18">
        <f>IFERROR('CF Data'!G23,0)</f>
        <v>4</v>
      </c>
      <c r="H93" s="18">
        <f>IFERROR('CF Data'!H23,0)</f>
        <v>1</v>
      </c>
      <c r="I93" s="18">
        <f>IFERROR('CF Data'!I23,0)</f>
        <v>900</v>
      </c>
      <c r="J93" s="18">
        <f>IFERROR('CF Data'!J23,0)</f>
        <v>0</v>
      </c>
      <c r="K93" s="18">
        <f>IFERROR('CF Data'!K23,0)</f>
        <v>0</v>
      </c>
      <c r="L93" s="18">
        <f>IFERROR('CF Data'!L23,0)</f>
        <v>0</v>
      </c>
    </row>
    <row r="94" spans="2:12" x14ac:dyDescent="0.25">
      <c r="B94" t="s">
        <v>122</v>
      </c>
      <c r="C94" s="18">
        <f>IFERROR('CF Data'!C24,0)</f>
        <v>0</v>
      </c>
      <c r="D94" s="18">
        <f>IFERROR('CF Data'!D24,0)</f>
        <v>0</v>
      </c>
      <c r="E94" s="18">
        <f>IFERROR('CF Data'!E24,0)</f>
        <v>320</v>
      </c>
      <c r="F94" s="18">
        <f>IFERROR('CF Data'!F24,0)</f>
        <v>180</v>
      </c>
      <c r="G94" s="18">
        <f>IFERROR('CF Data'!G24,0)</f>
        <v>300</v>
      </c>
      <c r="H94" s="18">
        <f>IFERROR('CF Data'!H24,0)</f>
        <v>0</v>
      </c>
      <c r="I94" s="18">
        <f>IFERROR('CF Data'!I24,0)</f>
        <v>0</v>
      </c>
      <c r="J94" s="18">
        <f>IFERROR('CF Data'!J24,0)</f>
        <v>0</v>
      </c>
      <c r="K94" s="18">
        <f>IFERROR('CF Data'!K24,0)</f>
        <v>0</v>
      </c>
      <c r="L94" s="18">
        <f>IFERROR('CF Data'!L24,0)</f>
        <v>0</v>
      </c>
    </row>
    <row r="95" spans="2:12" x14ac:dyDescent="0.25">
      <c r="B95" t="s">
        <v>106</v>
      </c>
      <c r="C95" s="18">
        <f>IFERROR('CF Data'!C25,0)</f>
        <v>0</v>
      </c>
      <c r="D95" s="18">
        <f>IFERROR('CF Data'!D25,0)</f>
        <v>0</v>
      </c>
      <c r="E95" s="18">
        <f>IFERROR('CF Data'!E25,0)</f>
        <v>0</v>
      </c>
      <c r="F95" s="18">
        <f>IFERROR('CF Data'!F25,0)</f>
        <v>-500</v>
      </c>
      <c r="G95" s="18">
        <f>IFERROR('CF Data'!G25,0)</f>
        <v>0</v>
      </c>
      <c r="H95" s="18">
        <f>IFERROR('CF Data'!H25,0)</f>
        <v>-300</v>
      </c>
      <c r="I95" s="18">
        <f>IFERROR('CF Data'!I25,0)</f>
        <v>0</v>
      </c>
      <c r="J95" s="18">
        <f>IFERROR('CF Data'!J25,0)</f>
        <v>0</v>
      </c>
      <c r="K95" s="18">
        <f>IFERROR('CF Data'!K25,0)</f>
        <v>0</v>
      </c>
      <c r="L95" s="18">
        <f>IFERROR('CF Data'!L25,0)</f>
        <v>0</v>
      </c>
    </row>
    <row r="96" spans="2:12" x14ac:dyDescent="0.25">
      <c r="B96" t="s">
        <v>107</v>
      </c>
      <c r="C96" s="18">
        <f>IFERROR('CF Data'!C26,0)</f>
        <v>396</v>
      </c>
      <c r="D96" s="18">
        <f>IFERROR('CF Data'!D26,0)</f>
        <v>171</v>
      </c>
      <c r="E96" s="18">
        <f>IFERROR('CF Data'!E26,0)</f>
        <v>332</v>
      </c>
      <c r="F96" s="18">
        <f>IFERROR('CF Data'!F26,0)</f>
        <v>0</v>
      </c>
      <c r="G96" s="18">
        <f>IFERROR('CF Data'!G26,0)</f>
        <v>0</v>
      </c>
      <c r="H96" s="18">
        <f>IFERROR('CF Data'!H26,0)</f>
        <v>1400</v>
      </c>
      <c r="I96" s="18">
        <f>IFERROR('CF Data'!I26,0)</f>
        <v>1958</v>
      </c>
      <c r="J96" s="18">
        <f>IFERROR('CF Data'!J26,0)</f>
        <v>1020</v>
      </c>
      <c r="K96" s="18">
        <f>IFERROR('CF Data'!K26,0)</f>
        <v>855</v>
      </c>
      <c r="L96" s="18">
        <f>IFERROR('CF Data'!L26,0)</f>
        <v>1478</v>
      </c>
    </row>
    <row r="97" spans="1:12" x14ac:dyDescent="0.25">
      <c r="B97" t="s">
        <v>108</v>
      </c>
      <c r="C97" s="18">
        <f>IFERROR('CF Data'!C27,0)</f>
        <v>-1</v>
      </c>
      <c r="D97" s="18">
        <f>IFERROR('CF Data'!D27,0)</f>
        <v>-87</v>
      </c>
      <c r="E97" s="18">
        <f>IFERROR('CF Data'!E27,0)</f>
        <v>-997</v>
      </c>
      <c r="F97" s="18">
        <f>IFERROR('CF Data'!F27,0)</f>
        <v>71</v>
      </c>
      <c r="G97" s="18">
        <f>IFERROR('CF Data'!G27,0)</f>
        <v>-57</v>
      </c>
      <c r="H97" s="18">
        <f>IFERROR('CF Data'!H27,0)</f>
        <v>-644</v>
      </c>
      <c r="I97" s="18">
        <f>IFERROR('CF Data'!I27,0)</f>
        <v>-1310</v>
      </c>
      <c r="J97" s="18">
        <f>IFERROR('CF Data'!J27,0)</f>
        <v>-1233</v>
      </c>
      <c r="K97" s="18">
        <f>IFERROR('CF Data'!K27,0)</f>
        <v>-726</v>
      </c>
      <c r="L97" s="18">
        <f>IFERROR('CF Data'!L27,0)</f>
        <v>-1138</v>
      </c>
    </row>
    <row r="98" spans="1:12" x14ac:dyDescent="0.25">
      <c r="B98" t="s">
        <v>109</v>
      </c>
      <c r="C98" s="18">
        <f>IFERROR('CF Data'!C28,0)</f>
        <v>-161</v>
      </c>
      <c r="D98" s="18">
        <f>IFERROR('CF Data'!D28,0)</f>
        <v>-186</v>
      </c>
      <c r="E98" s="18">
        <f>IFERROR('CF Data'!E28,0)</f>
        <v>-141</v>
      </c>
      <c r="F98" s="18">
        <f>IFERROR('CF Data'!F28,0)</f>
        <v>-219</v>
      </c>
      <c r="G98" s="18">
        <f>IFERROR('CF Data'!G28,0)</f>
        <v>-156</v>
      </c>
      <c r="H98" s="18">
        <f>IFERROR('CF Data'!H28,0)</f>
        <v>-189</v>
      </c>
      <c r="I98" s="18">
        <f>IFERROR('CF Data'!I28,0)</f>
        <v>-303</v>
      </c>
      <c r="J98" s="18">
        <f>IFERROR('CF Data'!J28,0)</f>
        <v>-277</v>
      </c>
      <c r="K98" s="18">
        <f>IFERROR('CF Data'!K28,0)</f>
        <v>-179</v>
      </c>
      <c r="L98" s="18">
        <f>IFERROR('CF Data'!L28,0)</f>
        <v>-172</v>
      </c>
    </row>
    <row r="99" spans="1:12" x14ac:dyDescent="0.25">
      <c r="B99" t="s">
        <v>110</v>
      </c>
      <c r="C99" s="18">
        <f>IFERROR('CF Data'!C29,0)</f>
        <v>0</v>
      </c>
      <c r="D99" s="18">
        <f>IFERROR('CF Data'!D29,0)</f>
        <v>0</v>
      </c>
      <c r="E99" s="18">
        <f>IFERROR('CF Data'!E29,0)</f>
        <v>0</v>
      </c>
      <c r="F99" s="18">
        <f>IFERROR('CF Data'!F29,0)</f>
        <v>0</v>
      </c>
      <c r="G99" s="18">
        <f>IFERROR('CF Data'!G29,0)</f>
        <v>-46</v>
      </c>
      <c r="H99" s="18">
        <f>IFERROR('CF Data'!H29,0)</f>
        <v>-46</v>
      </c>
      <c r="I99" s="18">
        <f>IFERROR('CF Data'!I29,0)</f>
        <v>-69</v>
      </c>
      <c r="J99" s="18">
        <f>IFERROR('CF Data'!J29,0)</f>
        <v>-72</v>
      </c>
      <c r="K99" s="18">
        <f>IFERROR('CF Data'!K29,0)</f>
        <v>-108</v>
      </c>
      <c r="L99" s="18">
        <f>IFERROR('CF Data'!L29,0)</f>
        <v>-162</v>
      </c>
    </row>
    <row r="100" spans="1:12" x14ac:dyDescent="0.25">
      <c r="B100" t="s">
        <v>111</v>
      </c>
      <c r="C100" s="18">
        <f>IFERROR('CF Data'!C30,0)</f>
        <v>0</v>
      </c>
      <c r="D100" s="18">
        <f>IFERROR('CF Data'!D30,0)</f>
        <v>0</v>
      </c>
      <c r="E100" s="18">
        <f>IFERROR('CF Data'!E30,0)</f>
        <v>0</v>
      </c>
      <c r="F100" s="18">
        <f>IFERROR('CF Data'!F30,0)</f>
        <v>0</v>
      </c>
      <c r="G100" s="18">
        <f>IFERROR('CF Data'!G30,0)</f>
        <v>0</v>
      </c>
      <c r="H100" s="18">
        <f>IFERROR('CF Data'!H30,0)</f>
        <v>0</v>
      </c>
      <c r="I100" s="18">
        <f>IFERROR('CF Data'!I30,0)</f>
        <v>0</v>
      </c>
      <c r="J100" s="18">
        <f>IFERROR('CF Data'!J30,0)</f>
        <v>-11</v>
      </c>
      <c r="K100" s="18">
        <f>IFERROR('CF Data'!K30,0)</f>
        <v>-19</v>
      </c>
      <c r="L100" s="18">
        <f>IFERROR('CF Data'!L30,0)</f>
        <v>-23</v>
      </c>
    </row>
    <row r="101" spans="1:12" x14ac:dyDescent="0.25">
      <c r="B101" t="s">
        <v>123</v>
      </c>
      <c r="C101" s="18">
        <f>IFERROR('CF Data'!C31,0)</f>
        <v>0</v>
      </c>
      <c r="D101" s="18">
        <f>IFERROR('CF Data'!D31,0)</f>
        <v>0</v>
      </c>
      <c r="E101" s="18">
        <f>IFERROR('CF Data'!E31,0)</f>
        <v>0</v>
      </c>
      <c r="F101" s="18">
        <f>IFERROR('CF Data'!F31,0)</f>
        <v>0</v>
      </c>
      <c r="G101" s="18">
        <f>IFERROR('CF Data'!G31,0)</f>
        <v>0</v>
      </c>
      <c r="H101" s="18">
        <f>IFERROR('CF Data'!H31,0)</f>
        <v>0</v>
      </c>
      <c r="I101" s="18">
        <f>IFERROR('CF Data'!I31,0)</f>
        <v>0</v>
      </c>
      <c r="J101" s="18">
        <f>IFERROR('CF Data'!J31,0)</f>
        <v>0</v>
      </c>
      <c r="K101" s="18">
        <f>IFERROR('CF Data'!K31,0)</f>
        <v>0</v>
      </c>
      <c r="L101" s="18">
        <f>IFERROR('CF Data'!L31,0)</f>
        <v>0</v>
      </c>
    </row>
    <row r="102" spans="1:12" x14ac:dyDescent="0.25">
      <c r="B102" t="s">
        <v>124</v>
      </c>
      <c r="C102" s="18">
        <f>IFERROR('CF Data'!C32,0)</f>
        <v>0</v>
      </c>
      <c r="D102" s="18">
        <f>IFERROR('CF Data'!D32,0)</f>
        <v>0</v>
      </c>
      <c r="E102" s="18">
        <f>IFERROR('CF Data'!E32,0)</f>
        <v>0</v>
      </c>
      <c r="F102" s="18">
        <f>IFERROR('CF Data'!F32,0)</f>
        <v>-21</v>
      </c>
      <c r="G102" s="18">
        <f>IFERROR('CF Data'!G32,0)</f>
        <v>0</v>
      </c>
      <c r="H102" s="18">
        <f>IFERROR('CF Data'!H32,0)</f>
        <v>0</v>
      </c>
      <c r="I102" s="18">
        <f>IFERROR('CF Data'!I32,0)</f>
        <v>0</v>
      </c>
      <c r="J102" s="18">
        <f>IFERROR('CF Data'!J32,0)</f>
        <v>0</v>
      </c>
      <c r="K102" s="18">
        <f>IFERROR('CF Data'!K32,0)</f>
        <v>0</v>
      </c>
      <c r="L102" s="18">
        <f>IFERROR('CF Data'!L32,0)</f>
        <v>0</v>
      </c>
    </row>
    <row r="103" spans="1:12" x14ac:dyDescent="0.25">
      <c r="B103" t="s">
        <v>112</v>
      </c>
      <c r="C103" s="18">
        <f>IFERROR('CF Data'!C33,0)</f>
        <v>0</v>
      </c>
      <c r="D103" s="18">
        <f>IFERROR('CF Data'!D33,0)</f>
        <v>-80</v>
      </c>
      <c r="E103" s="18">
        <f>IFERROR('CF Data'!E33,0)</f>
        <v>250</v>
      </c>
      <c r="F103" s="18">
        <f>IFERROR('CF Data'!F33,0)</f>
        <v>17</v>
      </c>
      <c r="G103" s="18">
        <f>IFERROR('CF Data'!G33,0)</f>
        <v>113</v>
      </c>
      <c r="H103" s="18">
        <f>IFERROR('CF Data'!H33,0)</f>
        <v>-308</v>
      </c>
      <c r="I103" s="18">
        <f>IFERROR('CF Data'!I33,0)</f>
        <v>-69</v>
      </c>
      <c r="J103" s="18">
        <f>IFERROR('CF Data'!J33,0)</f>
        <v>0</v>
      </c>
      <c r="K103" s="18">
        <f>IFERROR('CF Data'!K33,0)</f>
        <v>0</v>
      </c>
      <c r="L103" s="18">
        <f>IFERROR('CF Data'!L33,0)</f>
        <v>0</v>
      </c>
    </row>
    <row r="104" spans="1:12" x14ac:dyDescent="0.25">
      <c r="B104" s="30" t="s">
        <v>113</v>
      </c>
      <c r="C104" s="31">
        <f>IFERROR(SUM(C93:C103),0)</f>
        <v>274</v>
      </c>
      <c r="D104" s="31">
        <f t="shared" ref="D104:L104" si="29">IFERROR(SUM(D93:D103),0)</f>
        <v>58</v>
      </c>
      <c r="E104" s="31">
        <f t="shared" si="29"/>
        <v>-236</v>
      </c>
      <c r="F104" s="31">
        <f t="shared" si="29"/>
        <v>229</v>
      </c>
      <c r="G104" s="31">
        <f t="shared" si="29"/>
        <v>158</v>
      </c>
      <c r="H104" s="31">
        <f t="shared" si="29"/>
        <v>-86</v>
      </c>
      <c r="I104" s="31">
        <f t="shared" si="29"/>
        <v>1107</v>
      </c>
      <c r="J104" s="31">
        <f t="shared" si="29"/>
        <v>-573</v>
      </c>
      <c r="K104" s="31">
        <f t="shared" si="29"/>
        <v>-177</v>
      </c>
      <c r="L104" s="31">
        <f t="shared" si="29"/>
        <v>-17</v>
      </c>
    </row>
    <row r="106" spans="1:12" x14ac:dyDescent="0.25">
      <c r="B106" s="30" t="s">
        <v>50</v>
      </c>
      <c r="C106" s="31">
        <f>IFERROR(C78+C90+C104,0)</f>
        <v>816</v>
      </c>
      <c r="D106" s="31">
        <f t="shared" ref="D106:L106" si="30">IFERROR(D78+D90+D104,0)</f>
        <v>1331</v>
      </c>
      <c r="E106" s="31">
        <f t="shared" si="30"/>
        <v>563</v>
      </c>
      <c r="F106" s="31">
        <f t="shared" si="30"/>
        <v>1204</v>
      </c>
      <c r="G106" s="31">
        <f t="shared" si="30"/>
        <v>2063</v>
      </c>
      <c r="H106" s="31">
        <f t="shared" si="30"/>
        <v>967</v>
      </c>
      <c r="I106" s="31">
        <f t="shared" si="30"/>
        <v>1106</v>
      </c>
      <c r="J106" s="31">
        <f t="shared" si="30"/>
        <v>2324</v>
      </c>
      <c r="K106" s="31">
        <f t="shared" si="30"/>
        <v>3592</v>
      </c>
      <c r="L106" s="31">
        <f t="shared" si="30"/>
        <v>5035</v>
      </c>
    </row>
    <row r="108" spans="1:12" s="17" customFormat="1" x14ac:dyDescent="0.25">
      <c r="A108" s="17" t="s">
        <v>56</v>
      </c>
      <c r="B108" s="33" t="s">
        <v>114</v>
      </c>
    </row>
    <row r="109" spans="1:12" x14ac:dyDescent="0.25">
      <c r="B109" s="34" t="s">
        <v>92</v>
      </c>
      <c r="C109" s="35">
        <f>IFERROR(C78,0)</f>
        <v>1116</v>
      </c>
      <c r="D109" s="35">
        <f t="shared" ref="D109:L109" si="31">IFERROR(D78,0)</f>
        <v>1773</v>
      </c>
      <c r="E109" s="35">
        <f t="shared" si="31"/>
        <v>1100</v>
      </c>
      <c r="F109" s="35">
        <f t="shared" si="31"/>
        <v>2023</v>
      </c>
      <c r="G109" s="35">
        <f t="shared" si="31"/>
        <v>2651</v>
      </c>
      <c r="H109" s="35">
        <f t="shared" si="31"/>
        <v>1990</v>
      </c>
      <c r="I109" s="35">
        <f t="shared" si="31"/>
        <v>2318</v>
      </c>
      <c r="J109" s="35">
        <f t="shared" si="31"/>
        <v>3369</v>
      </c>
      <c r="K109" s="35">
        <f t="shared" si="31"/>
        <v>4777</v>
      </c>
      <c r="L109" s="35">
        <f t="shared" si="31"/>
        <v>6821</v>
      </c>
    </row>
    <row r="110" spans="1:12" x14ac:dyDescent="0.25">
      <c r="B110" s="34" t="s">
        <v>103</v>
      </c>
      <c r="C110" s="35">
        <f>IFERROR(C90,0)</f>
        <v>-574</v>
      </c>
      <c r="D110" s="35">
        <f t="shared" ref="D110:L110" si="32">IFERROR(D90,0)</f>
        <v>-500</v>
      </c>
      <c r="E110" s="35">
        <f t="shared" si="32"/>
        <v>-301</v>
      </c>
      <c r="F110" s="35">
        <f t="shared" si="32"/>
        <v>-1048</v>
      </c>
      <c r="G110" s="35">
        <f t="shared" si="32"/>
        <v>-746</v>
      </c>
      <c r="H110" s="35">
        <f t="shared" si="32"/>
        <v>-937</v>
      </c>
      <c r="I110" s="35">
        <f t="shared" si="32"/>
        <v>-2319</v>
      </c>
      <c r="J110" s="35">
        <f t="shared" si="32"/>
        <v>-472</v>
      </c>
      <c r="K110" s="35">
        <f t="shared" si="32"/>
        <v>-1008</v>
      </c>
      <c r="L110" s="35">
        <f t="shared" si="32"/>
        <v>-1769</v>
      </c>
    </row>
    <row r="111" spans="1:12" x14ac:dyDescent="0.25">
      <c r="B111" s="34" t="s">
        <v>113</v>
      </c>
      <c r="C111" s="35">
        <f>IFERROR(C104,0)</f>
        <v>274</v>
      </c>
      <c r="D111" s="35">
        <f t="shared" ref="D111:L111" si="33">IFERROR(D104,0)</f>
        <v>58</v>
      </c>
      <c r="E111" s="35">
        <f t="shared" si="33"/>
        <v>-236</v>
      </c>
      <c r="F111" s="35">
        <f t="shared" si="33"/>
        <v>229</v>
      </c>
      <c r="G111" s="35">
        <f t="shared" si="33"/>
        <v>158</v>
      </c>
      <c r="H111" s="35">
        <f t="shared" si="33"/>
        <v>-86</v>
      </c>
      <c r="I111" s="35">
        <f t="shared" si="33"/>
        <v>1107</v>
      </c>
      <c r="J111" s="35">
        <f t="shared" si="33"/>
        <v>-573</v>
      </c>
      <c r="K111" s="35">
        <f t="shared" si="33"/>
        <v>-177</v>
      </c>
      <c r="L111" s="35">
        <f t="shared" si="33"/>
        <v>-17</v>
      </c>
    </row>
    <row r="112" spans="1:12" x14ac:dyDescent="0.25">
      <c r="B112" s="30" t="s">
        <v>50</v>
      </c>
      <c r="C112" s="31">
        <f>IFERROR(C106,0)</f>
        <v>816</v>
      </c>
      <c r="D112" s="31">
        <f t="shared" ref="D112:L112" si="34">IFERROR(D106,0)</f>
        <v>1331</v>
      </c>
      <c r="E112" s="31">
        <f t="shared" si="34"/>
        <v>563</v>
      </c>
      <c r="F112" s="31">
        <f t="shared" si="34"/>
        <v>1204</v>
      </c>
      <c r="G112" s="31">
        <f t="shared" si="34"/>
        <v>2063</v>
      </c>
      <c r="H112" s="31">
        <f t="shared" si="34"/>
        <v>967</v>
      </c>
      <c r="I112" s="31">
        <f t="shared" si="34"/>
        <v>1106</v>
      </c>
      <c r="J112" s="31">
        <f t="shared" si="34"/>
        <v>2324</v>
      </c>
      <c r="K112" s="31">
        <f t="shared" si="34"/>
        <v>3592</v>
      </c>
      <c r="L112" s="31">
        <f t="shared" si="34"/>
        <v>5035</v>
      </c>
    </row>
  </sheetData>
  <mergeCells count="1">
    <mergeCell ref="B2:M2"/>
  </mergeCells>
  <pageMargins left="0.7" right="0.7" top="0.75" bottom="0.75" header="0.3" footer="0.3"/>
  <ignoredErrors>
    <ignoredError sqref="C15:L1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:L2"/>
    </sheetView>
  </sheetViews>
  <sheetFormatPr defaultRowHeight="15" x14ac:dyDescent="0.25"/>
  <cols>
    <col min="1" max="1" width="1.85546875" customWidth="1"/>
    <col min="2" max="2" width="22.85546875" bestFit="1" customWidth="1"/>
    <col min="3" max="12" width="10.5703125" bestFit="1" customWidth="1"/>
  </cols>
  <sheetData>
    <row r="2" spans="2:13" x14ac:dyDescent="0.25">
      <c r="B2" s="266" t="str">
        <f>"Common Size Income Statement"&amp;" "&amp;" - "&amp;'Data Sheet'!B1</f>
        <v>Common Size Income Statement  - VARUN BEVERAGES LTD</v>
      </c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42"/>
    </row>
    <row r="4" spans="2:13" x14ac:dyDescent="0.25">
      <c r="B4" s="43" t="s">
        <v>159</v>
      </c>
      <c r="C4" s="44">
        <f>'Data Sheet'!B16</f>
        <v>42369</v>
      </c>
      <c r="D4" s="44">
        <f>'Data Sheet'!C16</f>
        <v>42735</v>
      </c>
      <c r="E4" s="44">
        <f>'Data Sheet'!D16</f>
        <v>43100</v>
      </c>
      <c r="F4" s="44">
        <f>'Data Sheet'!E16</f>
        <v>43465</v>
      </c>
      <c r="G4" s="44">
        <f>'Data Sheet'!F16</f>
        <v>43830</v>
      </c>
      <c r="H4" s="44">
        <f>'Data Sheet'!G16</f>
        <v>44196</v>
      </c>
      <c r="I4" s="44">
        <f>'Data Sheet'!H16</f>
        <v>44561</v>
      </c>
      <c r="J4" s="44">
        <f>'Data Sheet'!I16</f>
        <v>44926</v>
      </c>
      <c r="K4" s="44">
        <f>'Data Sheet'!J16</f>
        <v>45291</v>
      </c>
      <c r="L4" s="44">
        <f>'Data Sheet'!K16</f>
        <v>45657</v>
      </c>
      <c r="M4" s="11"/>
    </row>
    <row r="6" spans="2:13" x14ac:dyDescent="0.25">
      <c r="B6" s="30" t="str">
        <f>'Data Sheet'!A17</f>
        <v>Sales</v>
      </c>
      <c r="C6" s="45">
        <f>'Data Sheet'!B17/'Data Sheet'!B$17</f>
        <v>1</v>
      </c>
      <c r="D6" s="45">
        <f>'Data Sheet'!C17/'Data Sheet'!C$17</f>
        <v>1</v>
      </c>
      <c r="E6" s="45">
        <f>'Data Sheet'!D17/'Data Sheet'!D$17</f>
        <v>1</v>
      </c>
      <c r="F6" s="45">
        <f>'Data Sheet'!E17/'Data Sheet'!E$17</f>
        <v>1</v>
      </c>
      <c r="G6" s="45">
        <f>'Data Sheet'!F17/'Data Sheet'!F$17</f>
        <v>1</v>
      </c>
      <c r="H6" s="45">
        <f>'Data Sheet'!G17/'Data Sheet'!G$17</f>
        <v>1</v>
      </c>
      <c r="I6" s="45">
        <f>'Data Sheet'!H17/'Data Sheet'!H$17</f>
        <v>1</v>
      </c>
      <c r="J6" s="45">
        <f>'Data Sheet'!I17/'Data Sheet'!I$17</f>
        <v>1</v>
      </c>
      <c r="K6" s="45">
        <f>'Data Sheet'!J17/'Data Sheet'!J$17</f>
        <v>1</v>
      </c>
      <c r="L6" s="45">
        <f>'Data Sheet'!K17/'Data Sheet'!K$17</f>
        <v>1</v>
      </c>
    </row>
    <row r="7" spans="2:13" x14ac:dyDescent="0.25">
      <c r="B7" s="34" t="str">
        <f>'Data Sheet'!A18</f>
        <v>Raw Material Cost</v>
      </c>
      <c r="C7" s="46">
        <f>'Data Sheet'!B18/'Data Sheet'!B$17</f>
        <v>0.51425692517103005</v>
      </c>
      <c r="D7" s="46">
        <f>'Data Sheet'!C18/'Data Sheet'!C$17</f>
        <v>0.4583417504493445</v>
      </c>
      <c r="E7" s="46">
        <f>'Data Sheet'!D18/'Data Sheet'!D$17</f>
        <v>0.47040369273193222</v>
      </c>
      <c r="F7" s="46">
        <f>'Data Sheet'!E18/'Data Sheet'!E$17</f>
        <v>0.45178893925089025</v>
      </c>
      <c r="G7" s="46">
        <f>'Data Sheet'!F18/'Data Sheet'!F$17</f>
        <v>0.47173746560105922</v>
      </c>
      <c r="H7" s="46">
        <f>'Data Sheet'!G18/'Data Sheet'!G$17</f>
        <v>0.43116893586805866</v>
      </c>
      <c r="I7" s="46">
        <f>'Data Sheet'!H18/'Data Sheet'!H$17</f>
        <v>0.46857896711295072</v>
      </c>
      <c r="J7" s="46">
        <f>'Data Sheet'!I18/'Data Sheet'!I$17</f>
        <v>0.5014491609441637</v>
      </c>
      <c r="K7" s="46">
        <f>'Data Sheet'!J18/'Data Sheet'!J$17</f>
        <v>0.46683014826792196</v>
      </c>
      <c r="L7" s="46">
        <f>'Data Sheet'!K18/'Data Sheet'!K$17</f>
        <v>0.44881132966640258</v>
      </c>
    </row>
    <row r="8" spans="2:13" x14ac:dyDescent="0.25">
      <c r="B8" s="34" t="str">
        <f>'Data Sheet'!A19</f>
        <v>Change in Inventory</v>
      </c>
      <c r="C8" s="46">
        <f>'Data Sheet'!B19/'Data Sheet'!B$17</f>
        <v>8.5411915831403538E-3</v>
      </c>
      <c r="D8" s="46">
        <f>'Data Sheet'!C19/'Data Sheet'!C$17</f>
        <v>8.2513635727938101E-3</v>
      </c>
      <c r="E8" s="46">
        <f>'Data Sheet'!D19/'Data Sheet'!D$17</f>
        <v>1.8288814399256659E-2</v>
      </c>
      <c r="F8" s="46">
        <f>'Data Sheet'!E19/'Data Sheet'!E$17</f>
        <v>1.2222687972796683E-2</v>
      </c>
      <c r="G8" s="46">
        <f>'Data Sheet'!F19/'Data Sheet'!F$17</f>
        <v>2.0177906692960879E-2</v>
      </c>
      <c r="H8" s="46">
        <f>'Data Sheet'!G19/'Data Sheet'!G$17</f>
        <v>2.6604073710027997E-3</v>
      </c>
      <c r="I8" s="46">
        <f>'Data Sheet'!H19/'Data Sheet'!H$17</f>
        <v>1.1301983513973908E-2</v>
      </c>
      <c r="J8" s="46">
        <f>'Data Sheet'!I19/'Data Sheet'!I$17</f>
        <v>2.6152458715234181E-2</v>
      </c>
      <c r="K8" s="46">
        <f>'Data Sheet'!J19/'Data Sheet'!J$17</f>
        <v>5.2528957312352499E-3</v>
      </c>
      <c r="L8" s="46">
        <f>'Data Sheet'!K19/'Data Sheet'!K$17</f>
        <v>3.7455673204999083E-3</v>
      </c>
    </row>
    <row r="9" spans="2:13" x14ac:dyDescent="0.25">
      <c r="B9" s="34" t="str">
        <f>'Data Sheet'!A20</f>
        <v>Power and Fuel</v>
      </c>
      <c r="C9" s="46">
        <f>'Data Sheet'!B20/'Data Sheet'!B$17</f>
        <v>3.8640126806790527E-2</v>
      </c>
      <c r="D9" s="46">
        <f>'Data Sheet'!C20/'Data Sheet'!C$17</f>
        <v>4.0459134254295322E-2</v>
      </c>
      <c r="E9" s="46">
        <f>'Data Sheet'!D20/'Data Sheet'!D$17</f>
        <v>3.9974622459123671E-2</v>
      </c>
      <c r="F9" s="46">
        <f>'Data Sheet'!E20/'Data Sheet'!E$17</f>
        <v>3.8156724633025545E-2</v>
      </c>
      <c r="G9" s="46">
        <f>'Data Sheet'!F20/'Data Sheet'!F$17</f>
        <v>3.9141155579992093E-2</v>
      </c>
      <c r="H9" s="46">
        <f>'Data Sheet'!G20/'Data Sheet'!G$17</f>
        <v>4.1394450353015588E-2</v>
      </c>
      <c r="I9" s="46">
        <f>'Data Sheet'!H20/'Data Sheet'!H$17</f>
        <v>3.7393335547186241E-2</v>
      </c>
      <c r="J9" s="46">
        <f>'Data Sheet'!I20/'Data Sheet'!I$17</f>
        <v>3.6378570333269064E-2</v>
      </c>
      <c r="K9" s="46">
        <f>'Data Sheet'!J20/'Data Sheet'!J$17</f>
        <v>3.4301839230348234E-2</v>
      </c>
      <c r="L9" s="46">
        <f>'Data Sheet'!K20/'Data Sheet'!K$17</f>
        <v>3.1463465224551609E-2</v>
      </c>
    </row>
    <row r="10" spans="2:13" x14ac:dyDescent="0.25">
      <c r="B10" s="34" t="str">
        <f>'Data Sheet'!A21</f>
        <v>Other Mfr. Exp</v>
      </c>
      <c r="C10" s="46">
        <f>'Data Sheet'!B21/'Data Sheet'!B$17</f>
        <v>3.8822794581248862E-2</v>
      </c>
      <c r="D10" s="46">
        <f>'Data Sheet'!C21/'Data Sheet'!C$17</f>
        <v>4.005511268575928E-2</v>
      </c>
      <c r="E10" s="46">
        <f>'Data Sheet'!D21/'Data Sheet'!D$17</f>
        <v>3.8588349310859894E-2</v>
      </c>
      <c r="F10" s="46">
        <f>'Data Sheet'!E21/'Data Sheet'!E$17</f>
        <v>3.7526002593403669E-2</v>
      </c>
      <c r="G10" s="46">
        <f>'Data Sheet'!F21/'Data Sheet'!F$17</f>
        <v>3.4419979858561094E-2</v>
      </c>
      <c r="H10" s="46">
        <f>'Data Sheet'!G21/'Data Sheet'!G$17</f>
        <v>4.0980505849485434E-2</v>
      </c>
      <c r="I10" s="46">
        <f>'Data Sheet'!H21/'Data Sheet'!H$17</f>
        <v>3.7214262803984488E-2</v>
      </c>
      <c r="J10" s="46">
        <f>'Data Sheet'!I21/'Data Sheet'!I$17</f>
        <v>3.583428096869843E-2</v>
      </c>
      <c r="K10" s="46">
        <f>'Data Sheet'!J21/'Data Sheet'!J$17</f>
        <v>3.3482768981049182E-2</v>
      </c>
      <c r="L10" s="46">
        <f>'Data Sheet'!K21/'Data Sheet'!K$17</f>
        <v>3.4013489840136142E-2</v>
      </c>
    </row>
    <row r="11" spans="2:13" x14ac:dyDescent="0.25">
      <c r="B11" s="34" t="str">
        <f>'Data Sheet'!A22</f>
        <v>Employee Cost</v>
      </c>
      <c r="C11" s="46">
        <f>'Data Sheet'!B22/'Data Sheet'!B$17</f>
        <v>9.5429180882344269E-2</v>
      </c>
      <c r="D11" s="46">
        <f>'Data Sheet'!C22/'Data Sheet'!C$17</f>
        <v>0.10915057055097147</v>
      </c>
      <c r="E11" s="46">
        <f>'Data Sheet'!D22/'Data Sheet'!D$17</f>
        <v>0.11569261203834606</v>
      </c>
      <c r="F11" s="46">
        <f>'Data Sheet'!E22/'Data Sheet'!E$17</f>
        <v>0.11424883355597951</v>
      </c>
      <c r="G11" s="46">
        <f>'Data Sheet'!F22/'Data Sheet'!F$17</f>
        <v>0.1138327923945029</v>
      </c>
      <c r="H11" s="46">
        <f>'Data Sheet'!G22/'Data Sheet'!G$17</f>
        <v>0.13799700471617671</v>
      </c>
      <c r="I11" s="46">
        <f>'Data Sheet'!H22/'Data Sheet'!H$17</f>
        <v>0.11508597191731373</v>
      </c>
      <c r="J11" s="46">
        <f>'Data Sheet'!I22/'Data Sheet'!I$17</f>
        <v>9.3766558314874057E-2</v>
      </c>
      <c r="K11" s="46">
        <f>'Data Sheet'!J22/'Data Sheet'!J$17</f>
        <v>9.0208682144642574E-2</v>
      </c>
      <c r="L11" s="46">
        <f>'Data Sheet'!K22/'Data Sheet'!K$17</f>
        <v>9.4257946335526657E-2</v>
      </c>
    </row>
    <row r="12" spans="2:13" x14ac:dyDescent="0.25">
      <c r="B12" s="34" t="str">
        <f>'Data Sheet'!A23</f>
        <v>Selling and admin</v>
      </c>
      <c r="C12" s="46">
        <f>'Data Sheet'!B23/'Data Sheet'!B$17</f>
        <v>0.12537785713023034</v>
      </c>
      <c r="D12" s="46">
        <f>'Data Sheet'!C23/'Data Sheet'!C$17</f>
        <v>0.14062799455088859</v>
      </c>
      <c r="E12" s="46">
        <f>'Data Sheet'!D23/'Data Sheet'!D$17</f>
        <v>0.13136374308736767</v>
      </c>
      <c r="F12" s="46">
        <f>'Data Sheet'!E23/'Data Sheet'!E$17</f>
        <v>0.33157566901587771</v>
      </c>
      <c r="G12" s="46">
        <f>'Data Sheet'!F23/'Data Sheet'!F$17</f>
        <v>0.33241649578236021</v>
      </c>
      <c r="H12" s="46">
        <f>'Data Sheet'!G23/'Data Sheet'!G$17</f>
        <v>0.3242766823665843</v>
      </c>
      <c r="I12" s="46">
        <f>'Data Sheet'!H23/'Data Sheet'!H$17</f>
        <v>0.15401275949963905</v>
      </c>
      <c r="J12" s="46">
        <f>'Data Sheet'!I23/'Data Sheet'!I$17</f>
        <v>0.13492455101820827</v>
      </c>
      <c r="K12" s="46">
        <f>'Data Sheet'!J23/'Data Sheet'!J$17</f>
        <v>0.14048987132992324</v>
      </c>
      <c r="L12" s="46">
        <f>'Data Sheet'!K23/'Data Sheet'!K$17</f>
        <v>0.14596067004370827</v>
      </c>
    </row>
    <row r="13" spans="2:13" x14ac:dyDescent="0.25">
      <c r="B13" s="34" t="str">
        <f>'Data Sheet'!A24</f>
        <v>Other Expenses</v>
      </c>
      <c r="C13" s="46">
        <f>'Data Sheet'!B24/'Data Sheet'!B$17</f>
        <v>6.7262988562640314E-3</v>
      </c>
      <c r="D13" s="46">
        <f>'Data Sheet'!C24/'Data Sheet'!C$17</f>
        <v>9.9632754753728129E-3</v>
      </c>
      <c r="E13" s="46">
        <f>'Data Sheet'!D24/'Data Sheet'!D$17</f>
        <v>1.2868611279018069E-2</v>
      </c>
      <c r="F13" s="46">
        <f>'Data Sheet'!E24/'Data Sheet'!E$17</f>
        <v>-0.16396226636841219</v>
      </c>
      <c r="G13" s="46">
        <f>'Data Sheet'!F24/'Data Sheet'!F$17</f>
        <v>-0.17647603365135114</v>
      </c>
      <c r="H13" s="46">
        <f>'Data Sheet'!G24/'Data Sheet'!G$17</f>
        <v>-0.16151897478194269</v>
      </c>
      <c r="I13" s="46">
        <f>'Data Sheet'!H24/'Data Sheet'!H$17</f>
        <v>7.0291718565650002E-3</v>
      </c>
      <c r="J13" s="46">
        <f>'Data Sheet'!I24/'Data Sheet'!I$17</f>
        <v>6.4631515341065232E-3</v>
      </c>
      <c r="K13" s="46">
        <f>'Data Sheet'!J24/'Data Sheet'!J$17</f>
        <v>8.2598933587988959E-3</v>
      </c>
      <c r="L13" s="46">
        <f>'Data Sheet'!K24/'Data Sheet'!K$17</f>
        <v>8.5837167283514051E-3</v>
      </c>
    </row>
    <row r="14" spans="2:13" x14ac:dyDescent="0.25">
      <c r="B14" s="34" t="str">
        <f>'Data Sheet'!A25</f>
        <v>Other Income</v>
      </c>
      <c r="C14" s="46">
        <f>'Data Sheet'!B25/'Data Sheet'!B$17</f>
        <v>1.0518128303487776E-2</v>
      </c>
      <c r="D14" s="46">
        <f>'Data Sheet'!C25/'Data Sheet'!C$17</f>
        <v>6.9331137113524885E-3</v>
      </c>
      <c r="E14" s="46">
        <f>'Data Sheet'!D25/'Data Sheet'!D$17</f>
        <v>3.4619361864749697E-3</v>
      </c>
      <c r="F14" s="46">
        <f>'Data Sheet'!E25/'Data Sheet'!E$17</f>
        <v>1.1497945256460983E-3</v>
      </c>
      <c r="G14" s="46">
        <f>'Data Sheet'!F25/'Data Sheet'!F$17</f>
        <v>6.5768250023143021E-3</v>
      </c>
      <c r="H14" s="46">
        <f>'Data Sheet'!G25/'Data Sheet'!G$17</f>
        <v>-4.6526121913632885E-3</v>
      </c>
      <c r="I14" s="46">
        <f>'Data Sheet'!H25/'Data Sheet'!H$17</f>
        <v>5.7677290516058178E-3</v>
      </c>
      <c r="J14" s="46">
        <f>'Data Sheet'!I25/'Data Sheet'!I$17</f>
        <v>-1.3724897784431046E-3</v>
      </c>
      <c r="K14" s="46">
        <f>'Data Sheet'!J25/'Data Sheet'!J$17</f>
        <v>-3.0356713197004473E-4</v>
      </c>
      <c r="L14" s="46">
        <f>'Data Sheet'!K25/'Data Sheet'!K$17</f>
        <v>2.4190747039257482E-3</v>
      </c>
    </row>
    <row r="15" spans="2:13" x14ac:dyDescent="0.25">
      <c r="B15" s="34" t="str">
        <f>'Data Sheet'!A26</f>
        <v>Depreciation</v>
      </c>
      <c r="C15" s="46">
        <f>'Data Sheet'!B26/'Data Sheet'!B$17</f>
        <v>9.3517061759385303E-2</v>
      </c>
      <c r="D15" s="46">
        <f>'Data Sheet'!C26/'Data Sheet'!C$17</f>
        <v>8.3448583075640084E-2</v>
      </c>
      <c r="E15" s="46">
        <f>'Data Sheet'!D26/'Data Sheet'!D$17</f>
        <v>8.6583373714262876E-2</v>
      </c>
      <c r="F15" s="46">
        <f>'Data Sheet'!E26/'Data Sheet'!E$17</f>
        <v>7.5426129129564409E-2</v>
      </c>
      <c r="G15" s="46">
        <f>'Data Sheet'!F26/'Data Sheet'!F$17</f>
        <v>6.8535593962056676E-2</v>
      </c>
      <c r="H15" s="46">
        <f>'Data Sheet'!G26/'Data Sheet'!G$17</f>
        <v>8.1967213114754106E-2</v>
      </c>
      <c r="I15" s="46">
        <f>'Data Sheet'!H26/'Data Sheet'!H$17</f>
        <v>6.0211509843900703E-2</v>
      </c>
      <c r="J15" s="46">
        <f>'Data Sheet'!I26/'Data Sheet'!I$17</f>
        <v>4.6852155218877208E-2</v>
      </c>
      <c r="K15" s="46">
        <f>'Data Sheet'!J26/'Data Sheet'!J$17</f>
        <v>4.2443921114932885E-2</v>
      </c>
      <c r="L15" s="46">
        <f>'Data Sheet'!K26/'Data Sheet'!K$17</f>
        <v>4.7351388094054023E-2</v>
      </c>
    </row>
    <row r="16" spans="2:13" x14ac:dyDescent="0.25">
      <c r="B16" s="34" t="str">
        <f>'Data Sheet'!A27</f>
        <v>Interest</v>
      </c>
      <c r="C16" s="46">
        <f>'Data Sheet'!B27/'Data Sheet'!B$17</f>
        <v>5.0130519071104905E-2</v>
      </c>
      <c r="D16" s="46">
        <f>'Data Sheet'!C27/'Data Sheet'!C$17</f>
        <v>0.11259252352907662</v>
      </c>
      <c r="E16" s="46">
        <f>'Data Sheet'!D27/'Data Sheet'!D$17</f>
        <v>5.3600063943410083E-2</v>
      </c>
      <c r="F16" s="46">
        <f>'Data Sheet'!E27/'Data Sheet'!E$17</f>
        <v>4.3641264107998415E-2</v>
      </c>
      <c r="G16" s="46">
        <f>'Data Sheet'!F27/'Data Sheet'!F$17</f>
        <v>4.5487953007049504E-2</v>
      </c>
      <c r="H16" s="46">
        <f>'Data Sheet'!G27/'Data Sheet'!G$17</f>
        <v>4.5540096804100372E-2</v>
      </c>
      <c r="I16" s="46">
        <f>'Data Sheet'!H27/'Data Sheet'!H$17</f>
        <v>2.3457395987637183E-2</v>
      </c>
      <c r="J16" s="46">
        <f>'Data Sheet'!I27/'Data Sheet'!I$17</f>
        <v>1.549288931871976E-2</v>
      </c>
      <c r="K16" s="46">
        <f>'Data Sheet'!J27/'Data Sheet'!J$17</f>
        <v>1.8176627450198161E-2</v>
      </c>
      <c r="L16" s="46">
        <f>'Data Sheet'!K27/'Data Sheet'!K$17</f>
        <v>2.4133768833421214E-2</v>
      </c>
    </row>
    <row r="17" spans="2:13" x14ac:dyDescent="0.25">
      <c r="B17" s="34" t="str">
        <f>'Data Sheet'!A28</f>
        <v>Profit before tax</v>
      </c>
      <c r="C17" s="46">
        <f>'Data Sheet'!B28/'Data Sheet'!B$17</f>
        <v>5.6158555628229835E-2</v>
      </c>
      <c r="D17" s="46">
        <f>'Data Sheet'!C28/'Data Sheet'!C$17</f>
        <v>2.0545532712797642E-2</v>
      </c>
      <c r="E17" s="46">
        <f>'Data Sheet'!D28/'Data Sheet'!D$17</f>
        <v>7.2675682021411045E-2</v>
      </c>
      <c r="F17" s="46">
        <f>'Data Sheet'!E28/'Data Sheet'!E$17</f>
        <v>8.4971186580115404E-2</v>
      </c>
      <c r="G17" s="46">
        <f>'Data Sheet'!F28/'Data Sheet'!F$17</f>
        <v>9.7659329161044542E-2</v>
      </c>
      <c r="H17" s="46">
        <f>'Data Sheet'!G28/'Data Sheet'!G$17</f>
        <v>5.6201880889407051E-2</v>
      </c>
      <c r="I17" s="46">
        <f>'Data Sheet'!H28/'Data Sheet'!H$17</f>
        <v>0.11408633799640268</v>
      </c>
      <c r="J17" s="46">
        <f>'Data Sheet'!I28/'Data Sheet'!I$17</f>
        <v>0.15361865128587415</v>
      </c>
      <c r="K17" s="46">
        <f>'Data Sheet'!J28/'Data Sheet'!J$17</f>
        <v>0.17075557672145006</v>
      </c>
      <c r="L17" s="46">
        <f>'Data Sheet'!K28/'Data Sheet'!K$17</f>
        <v>0.17158886725827371</v>
      </c>
    </row>
    <row r="18" spans="2:13" x14ac:dyDescent="0.25">
      <c r="B18" s="34" t="str">
        <f>'Data Sheet'!A29</f>
        <v>Tax</v>
      </c>
      <c r="C18" s="46">
        <f>'Data Sheet'!B29/'Data Sheet'!B$17</f>
        <v>2.3231216154902271E-2</v>
      </c>
      <c r="D18" s="46">
        <f>'Data Sheet'!C29/'Data Sheet'!C$17</f>
        <v>8.1063301892167691E-3</v>
      </c>
      <c r="E18" s="46">
        <f>'Data Sheet'!D29/'Data Sheet'!D$17</f>
        <v>1.9208000919186521E-2</v>
      </c>
      <c r="F18" s="46">
        <f>'Data Sheet'!E29/'Data Sheet'!E$17</f>
        <v>2.6233727567254166E-2</v>
      </c>
      <c r="G18" s="46">
        <f>'Data Sheet'!F29/'Data Sheet'!F$17</f>
        <v>3.1428218773055357E-2</v>
      </c>
      <c r="H18" s="46">
        <f>'Data Sheet'!G29/'Data Sheet'!G$17</f>
        <v>8.1083511365644784E-4</v>
      </c>
      <c r="I18" s="46">
        <f>'Data Sheet'!H29/'Data Sheet'!H$17</f>
        <v>2.9530002051402948E-2</v>
      </c>
      <c r="J18" s="46">
        <f>'Data Sheet'!I29/'Data Sheet'!I$17</f>
        <v>3.5946630795694878E-2</v>
      </c>
      <c r="K18" s="46">
        <f>'Data Sheet'!J29/'Data Sheet'!J$17</f>
        <v>3.9741113960472689E-2</v>
      </c>
      <c r="L18" s="46">
        <f>'Data Sheet'!K29/'Data Sheet'!K$17</f>
        <v>3.9924728791237346E-2</v>
      </c>
    </row>
    <row r="19" spans="2:13" x14ac:dyDescent="0.25">
      <c r="B19" s="34" t="str">
        <f>'Data Sheet'!A30</f>
        <v>Net profit</v>
      </c>
      <c r="C19" s="46">
        <f>'Data Sheet'!B30/'Data Sheet'!B$17</f>
        <v>3.330446003995121E-2</v>
      </c>
      <c r="D19" s="46">
        <f>'Data Sheet'!C30/'Data Sheet'!C$17</f>
        <v>1.0975919278562512E-2</v>
      </c>
      <c r="E19" s="46">
        <f>'Data Sheet'!D30/'Data Sheet'!D$17</f>
        <v>5.2491045424799057E-2</v>
      </c>
      <c r="F19" s="46">
        <f>'Data Sheet'!E30/'Data Sheet'!E$17</f>
        <v>5.7360447851823405E-2</v>
      </c>
      <c r="G19" s="46">
        <f>'Data Sheet'!F30/'Data Sheet'!F$17</f>
        <v>6.5779470880472632E-2</v>
      </c>
      <c r="H19" s="46">
        <f>'Data Sheet'!G30/'Data Sheet'!G$17</f>
        <v>5.1006644817011719E-2</v>
      </c>
      <c r="I19" s="46">
        <f>'Data Sheet'!H30/'Data Sheet'!H$17</f>
        <v>7.8661669252643299E-2</v>
      </c>
      <c r="J19" s="46">
        <f>'Data Sheet'!I30/'Data Sheet'!I$17</f>
        <v>0.11367297394546784</v>
      </c>
      <c r="K19" s="46">
        <f>'Data Sheet'!J30/'Data Sheet'!J$17</f>
        <v>0.12815395029976476</v>
      </c>
      <c r="L19" s="46">
        <f>'Data Sheet'!K30/'Data Sheet'!K$17</f>
        <v>0.12968189667452198</v>
      </c>
    </row>
    <row r="20" spans="2:13" x14ac:dyDescent="0.25">
      <c r="B20" s="34" t="str">
        <f>'Data Sheet'!A31</f>
        <v>Dividend Amount</v>
      </c>
      <c r="C20" s="46">
        <f>'Data Sheet'!B31/'Data Sheet'!B$17</f>
        <v>0</v>
      </c>
      <c r="D20" s="46">
        <f>'Data Sheet'!C31/'Data Sheet'!C$17</f>
        <v>0</v>
      </c>
      <c r="E20" s="46">
        <f>'Data Sheet'!D31/'Data Sheet'!D$17</f>
        <v>1.1402408868151685E-2</v>
      </c>
      <c r="F20" s="46">
        <f>'Data Sheet'!E31/'Data Sheet'!E$17</f>
        <v>8.9437168724021878E-3</v>
      </c>
      <c r="G20" s="46">
        <f>'Data Sheet'!F31/'Data Sheet'!F$17</f>
        <v>1.0122615918469252E-2</v>
      </c>
      <c r="H20" s="46">
        <f>'Data Sheet'!G31/'Data Sheet'!G$17</f>
        <v>1.1188904426880657E-2</v>
      </c>
      <c r="I20" s="46">
        <f>'Data Sheet'!H31/'Data Sheet'!H$17</f>
        <v>1.2269883024697305E-2</v>
      </c>
      <c r="J20" s="46">
        <f>'Data Sheet'!I31/'Data Sheet'!I$17</f>
        <v>1.7257844371197758E-2</v>
      </c>
      <c r="K20" s="46">
        <f>'Data Sheet'!J31/'Data Sheet'!J$17</f>
        <v>2.0246120013115099E-2</v>
      </c>
      <c r="L20" s="46">
        <f>'Data Sheet'!K31/'Data Sheet'!K$17</f>
        <v>1.6901035353977103E-2</v>
      </c>
    </row>
    <row r="21" spans="2:13" x14ac:dyDescent="0.25">
      <c r="B21" s="34" t="str">
        <f>'Historical''FS'!B18</f>
        <v>EBITDA</v>
      </c>
      <c r="C21" s="46">
        <f>'Historical''FS'!C18/'Data Sheet'!B$17</f>
        <v>0.18928800815523211</v>
      </c>
      <c r="D21" s="46">
        <f>'Historical''FS'!D18/'Data Sheet'!C$17</f>
        <v>0.20965352560616191</v>
      </c>
      <c r="E21" s="46">
        <f>'Historical''FS'!E18/'Data Sheet'!D$17</f>
        <v>0.20939718349260905</v>
      </c>
      <c r="F21" s="46">
        <f>'Historical''FS'!F18/'Data Sheet'!E$17</f>
        <v>0.20288878529203216</v>
      </c>
      <c r="G21" s="46">
        <f>'Historical''FS'!G18/'Data Sheet'!F$17</f>
        <v>0.20510605112783642</v>
      </c>
      <c r="H21" s="46">
        <f>'Historical''FS'!H18/'Data Sheet'!G$17</f>
        <v>0.18836180299962485</v>
      </c>
      <c r="I21" s="46">
        <f>'Historical''FS'!I18/'Data Sheet'!H$17</f>
        <v>0.19198751477633461</v>
      </c>
      <c r="J21" s="46">
        <f>'Historical''FS'!J18/'Data Sheet'!I$17</f>
        <v>0.21733618560191406</v>
      </c>
      <c r="K21" s="46">
        <f>'Historical''FS'!K18/'Data Sheet'!J$17</f>
        <v>0.23167969241855113</v>
      </c>
      <c r="L21" s="46">
        <f>'Historical''FS'!L18/'Data Sheet'!K$17</f>
        <v>0.2406549494818232</v>
      </c>
    </row>
    <row r="23" spans="2:13" x14ac:dyDescent="0.25">
      <c r="B23" s="266" t="str">
        <f>"Common Size Balance Sheet"&amp;" "&amp;" - "&amp;'Data Sheet'!B1</f>
        <v>Common Size Balance Sheet  - VARUN BEVERAGES LTD</v>
      </c>
      <c r="C23" s="266"/>
      <c r="D23" s="266"/>
      <c r="E23" s="266"/>
      <c r="F23" s="266"/>
      <c r="G23" s="266"/>
      <c r="H23" s="266"/>
      <c r="I23" s="266"/>
      <c r="J23" s="266"/>
      <c r="K23" s="266"/>
      <c r="L23" s="266"/>
    </row>
    <row r="25" spans="2:13" x14ac:dyDescent="0.25">
      <c r="B25" s="43" t="s">
        <v>159</v>
      </c>
      <c r="C25" s="44">
        <f>'Data Sheet'!B56</f>
        <v>42369</v>
      </c>
      <c r="D25" s="44">
        <f>'Data Sheet'!C56</f>
        <v>42735</v>
      </c>
      <c r="E25" s="44">
        <f>'Data Sheet'!D56</f>
        <v>43100</v>
      </c>
      <c r="F25" s="44">
        <f>'Data Sheet'!E56</f>
        <v>43465</v>
      </c>
      <c r="G25" s="44">
        <f>'Data Sheet'!F56</f>
        <v>43830</v>
      </c>
      <c r="H25" s="44">
        <f>'Data Sheet'!G56</f>
        <v>44196</v>
      </c>
      <c r="I25" s="44">
        <f>'Data Sheet'!H56</f>
        <v>44561</v>
      </c>
      <c r="J25" s="44">
        <f>'Data Sheet'!I56</f>
        <v>44926</v>
      </c>
      <c r="K25" s="44">
        <f>'Data Sheet'!J56</f>
        <v>45291</v>
      </c>
      <c r="L25" s="44">
        <f>'Data Sheet'!K56</f>
        <v>45657</v>
      </c>
    </row>
    <row r="27" spans="2:13" x14ac:dyDescent="0.25">
      <c r="B27" s="30" t="s">
        <v>79</v>
      </c>
      <c r="C27" s="45">
        <f>'Data Sheet'!B61/'Data Sheet'!B$61</f>
        <v>1</v>
      </c>
      <c r="D27" s="45">
        <f>'Data Sheet'!C61/'Data Sheet'!C$61</f>
        <v>1</v>
      </c>
      <c r="E27" s="45">
        <f>'Data Sheet'!D61/'Data Sheet'!D$61</f>
        <v>1</v>
      </c>
      <c r="F27" s="45">
        <f>'Data Sheet'!E61/'Data Sheet'!E$61</f>
        <v>1</v>
      </c>
      <c r="G27" s="45">
        <f>'Data Sheet'!F61/'Data Sheet'!F$61</f>
        <v>1</v>
      </c>
      <c r="H27" s="45">
        <f>'Data Sheet'!G61/'Data Sheet'!G$61</f>
        <v>1</v>
      </c>
      <c r="I27" s="45">
        <f>'Data Sheet'!H61/'Data Sheet'!H$61</f>
        <v>1</v>
      </c>
      <c r="J27" s="45">
        <f>'Data Sheet'!I61/'Data Sheet'!I$61</f>
        <v>1</v>
      </c>
      <c r="K27" s="45">
        <f>'Data Sheet'!J61/'Data Sheet'!J$61</f>
        <v>1</v>
      </c>
      <c r="L27" s="45">
        <f>'Data Sheet'!K61/'Data Sheet'!K$61</f>
        <v>1</v>
      </c>
    </row>
    <row r="28" spans="2:13" x14ac:dyDescent="0.25">
      <c r="B28" t="str">
        <f>'Data Sheet'!A57</f>
        <v>Equity Share Capital</v>
      </c>
      <c r="C28" s="46">
        <f>'Data Sheet'!B57/'Data Sheet'!B$61</f>
        <v>3.0187870239774331E-2</v>
      </c>
      <c r="D28" s="46">
        <f>'Data Sheet'!C57/'Data Sheet'!C$61</f>
        <v>3.7788998470282435E-2</v>
      </c>
      <c r="E28" s="46">
        <f>'Data Sheet'!D57/'Data Sheet'!D$61</f>
        <v>3.4610215690697381E-2</v>
      </c>
      <c r="F28" s="46">
        <f>'Data Sheet'!E57/'Data Sheet'!E$61</f>
        <v>3.0450099282928834E-2</v>
      </c>
      <c r="G28" s="46">
        <f>'Data Sheet'!F57/'Data Sheet'!F$61</f>
        <v>3.4468060719377046E-2</v>
      </c>
      <c r="H28" s="46">
        <f>'Data Sheet'!G57/'Data Sheet'!G$61</f>
        <v>3.4175133799040407E-2</v>
      </c>
      <c r="I28" s="46">
        <f>'Data Sheet'!H57/'Data Sheet'!H$61</f>
        <v>4.5203915035054096E-2</v>
      </c>
      <c r="J28" s="46">
        <f>'Data Sheet'!I57/'Data Sheet'!I$61</f>
        <v>5.5907779491558098E-2</v>
      </c>
      <c r="K28" s="46">
        <f>'Data Sheet'!J57/'Data Sheet'!J$61</f>
        <v>4.277357613460827E-2</v>
      </c>
      <c r="L28" s="46">
        <f>'Data Sheet'!K57/'Data Sheet'!K$61</f>
        <v>2.9246303345962187E-2</v>
      </c>
      <c r="M28" s="34"/>
    </row>
    <row r="29" spans="2:13" x14ac:dyDescent="0.25">
      <c r="B29" t="str">
        <f>'Data Sheet'!A58</f>
        <v>Reserves</v>
      </c>
      <c r="C29" s="46">
        <f>'Data Sheet'!B58/'Data Sheet'!B$61</f>
        <v>2.0425387870239776E-2</v>
      </c>
      <c r="D29" s="46">
        <f>'Data Sheet'!C58/'Data Sheet'!C$61</f>
        <v>0.3132563085303518</v>
      </c>
      <c r="E29" s="46">
        <f>'Data Sheet'!D58/'Data Sheet'!D$61</f>
        <v>0.30078796575182776</v>
      </c>
      <c r="F29" s="46">
        <f>'Data Sheet'!E58/'Data Sheet'!E$61</f>
        <v>0.30274374334154158</v>
      </c>
      <c r="G29" s="46">
        <f>'Data Sheet'!F58/'Data Sheet'!F$61</f>
        <v>0.36292770172334332</v>
      </c>
      <c r="H29" s="46">
        <f>'Data Sheet'!G58/'Data Sheet'!G$61</f>
        <v>0.38299612778888575</v>
      </c>
      <c r="I29" s="46">
        <f>'Data Sheet'!H58/'Data Sheet'!H$61</f>
        <v>0.38069707332757102</v>
      </c>
      <c r="J29" s="46">
        <f>'Data Sheet'!I58/'Data Sheet'!I$61</f>
        <v>0.38326200870355581</v>
      </c>
      <c r="K29" s="46">
        <f>'Data Sheet'!J58/'Data Sheet'!J$61</f>
        <v>0.41396032706532748</v>
      </c>
      <c r="L29" s="46">
        <f>'Data Sheet'!K58/'Data Sheet'!K$61</f>
        <v>0.68903866886291432</v>
      </c>
      <c r="M29" s="34"/>
    </row>
    <row r="30" spans="2:13" x14ac:dyDescent="0.25">
      <c r="B30" t="str">
        <f>'Data Sheet'!A59</f>
        <v>Borrowings</v>
      </c>
      <c r="C30" s="46">
        <f>'Data Sheet'!B59/'Data Sheet'!B$61</f>
        <v>0.57034696755994352</v>
      </c>
      <c r="D30" s="46">
        <f>'Data Sheet'!C59/'Data Sheet'!C$61</f>
        <v>0.45920545889454073</v>
      </c>
      <c r="E30" s="46">
        <f>'Data Sheet'!D59/'Data Sheet'!D$61</f>
        <v>0.50301292172848255</v>
      </c>
      <c r="F30" s="46">
        <f>'Data Sheet'!E59/'Data Sheet'!E$61</f>
        <v>0.46813359764321832</v>
      </c>
      <c r="G30" s="46">
        <f>'Data Sheet'!F59/'Data Sheet'!F$61</f>
        <v>0.40799323748325489</v>
      </c>
      <c r="H30" s="46">
        <f>'Data Sheet'!G59/'Data Sheet'!G$61</f>
        <v>0.38072559861826816</v>
      </c>
      <c r="I30" s="46">
        <f>'Data Sheet'!H59/'Data Sheet'!H$61</f>
        <v>0.35354319858697969</v>
      </c>
      <c r="J30" s="46">
        <f>'Data Sheet'!I59/'Data Sheet'!I$61</f>
        <v>0.33428557165284933</v>
      </c>
      <c r="K30" s="46">
        <f>'Data Sheet'!J59/'Data Sheet'!J$61</f>
        <v>0.35762465447831659</v>
      </c>
      <c r="L30" s="46">
        <f>'Data Sheet'!K59/'Data Sheet'!K$61</f>
        <v>0.12221996869957953</v>
      </c>
      <c r="M30" s="34"/>
    </row>
    <row r="31" spans="2:13" x14ac:dyDescent="0.25">
      <c r="B31" t="str">
        <f>'Data Sheet'!A60</f>
        <v>Other Liabilities</v>
      </c>
      <c r="C31" s="46">
        <f>'Data Sheet'!B60/'Data Sheet'!B$61</f>
        <v>0.37903977433004227</v>
      </c>
      <c r="D31" s="46">
        <f>'Data Sheet'!C60/'Data Sheet'!C$61</f>
        <v>0.18974923410482503</v>
      </c>
      <c r="E31" s="46">
        <f>'Data Sheet'!D60/'Data Sheet'!D$61</f>
        <v>0.1615888968289923</v>
      </c>
      <c r="F31" s="46">
        <f>'Data Sheet'!E60/'Data Sheet'!E$61</f>
        <v>0.19867255973231124</v>
      </c>
      <c r="G31" s="46">
        <f>'Data Sheet'!F60/'Data Sheet'!F$61</f>
        <v>0.19461100007402474</v>
      </c>
      <c r="H31" s="46">
        <f>'Data Sheet'!G60/'Data Sheet'!G$61</f>
        <v>0.20210313979380562</v>
      </c>
      <c r="I31" s="46">
        <f>'Data Sheet'!H60/'Data Sheet'!H$61</f>
        <v>0.22055581305039523</v>
      </c>
      <c r="J31" s="46">
        <f>'Data Sheet'!I60/'Data Sheet'!I$61</f>
        <v>0.22654464015203682</v>
      </c>
      <c r="K31" s="46">
        <f>'Data Sheet'!J60/'Data Sheet'!J$61</f>
        <v>0.18564144232174767</v>
      </c>
      <c r="L31" s="46">
        <f>'Data Sheet'!K60/'Data Sheet'!K$61</f>
        <v>0.15949505909154399</v>
      </c>
      <c r="M31" s="34"/>
    </row>
    <row r="33" spans="2:12" x14ac:dyDescent="0.25">
      <c r="B33" s="30" t="s">
        <v>118</v>
      </c>
      <c r="C33" s="45">
        <f>'Data Sheet'!B75/'Data Sheet'!B$75</f>
        <v>1</v>
      </c>
      <c r="D33" s="45">
        <f>'Data Sheet'!C75/'Data Sheet'!C$75</f>
        <v>1</v>
      </c>
      <c r="E33" s="45">
        <f>'Data Sheet'!D75/'Data Sheet'!D$75</f>
        <v>1</v>
      </c>
      <c r="F33" s="45">
        <f>'Data Sheet'!E75/'Data Sheet'!E$75</f>
        <v>1</v>
      </c>
      <c r="G33" s="45">
        <f>'Data Sheet'!F75/'Data Sheet'!F$75</f>
        <v>1</v>
      </c>
      <c r="H33" s="45">
        <f>'Data Sheet'!G75/'Data Sheet'!G$75</f>
        <v>1</v>
      </c>
      <c r="I33" s="45">
        <f>'Data Sheet'!H75/'Data Sheet'!H$75</f>
        <v>1</v>
      </c>
      <c r="J33" s="45">
        <f>'Data Sheet'!I75/'Data Sheet'!I$75</f>
        <v>1</v>
      </c>
      <c r="K33" s="45">
        <f>'Data Sheet'!J75/'Data Sheet'!J$75</f>
        <v>1</v>
      </c>
      <c r="L33" s="45">
        <f>'Data Sheet'!K75/'Data Sheet'!K$75</f>
        <v>1</v>
      </c>
    </row>
    <row r="34" spans="2:12" x14ac:dyDescent="0.25">
      <c r="B34" t="str">
        <f>'Data Sheet'!A62</f>
        <v>Net Block</v>
      </c>
      <c r="C34" s="28">
        <f>'Data Sheet'!B62/'Data Sheet'!B$75</f>
        <v>0.78884513399153744</v>
      </c>
      <c r="D34" s="28">
        <f>'Data Sheet'!C62/'Data Sheet'!C$75</f>
        <v>0.77014439041376992</v>
      </c>
      <c r="E34" s="28">
        <f>'Data Sheet'!D62/'Data Sheet'!D$75</f>
        <v>0.75451369604652352</v>
      </c>
      <c r="F34" s="28">
        <f>'Data Sheet'!E62/'Data Sheet'!E$75</f>
        <v>0.73140424907594359</v>
      </c>
      <c r="G34" s="28">
        <f>'Data Sheet'!F62/'Data Sheet'!F$75</f>
        <v>0.77356314428373918</v>
      </c>
      <c r="H34" s="28">
        <f>'Data Sheet'!G62/'Data Sheet'!G$75</f>
        <v>0.75865269308672412</v>
      </c>
      <c r="I34" s="28">
        <f>'Data Sheet'!H62/'Data Sheet'!H$75</f>
        <v>0.6587810611849495</v>
      </c>
      <c r="J34" s="28">
        <f>'Data Sheet'!I62/'Data Sheet'!I$75</f>
        <v>0.59666696504806227</v>
      </c>
      <c r="K34" s="28">
        <f>'Data Sheet'!J62/'Data Sheet'!J$75</f>
        <v>0.55370187223697886</v>
      </c>
      <c r="L34" s="28">
        <f>'Data Sheet'!K62/'Data Sheet'!K$75</f>
        <v>0.57955249653070429</v>
      </c>
    </row>
    <row r="35" spans="2:12" x14ac:dyDescent="0.25">
      <c r="B35" t="str">
        <f>'Data Sheet'!A63</f>
        <v>Capital Work in Progress</v>
      </c>
      <c r="C35" s="28">
        <f>'Data Sheet'!B63/'Data Sheet'!B$75</f>
        <v>8.5551480959097318E-3</v>
      </c>
      <c r="D35" s="28">
        <f>'Data Sheet'!C63/'Data Sheet'!C$75</f>
        <v>1.9811707935876229E-2</v>
      </c>
      <c r="E35" s="28">
        <f>'Data Sheet'!D63/'Data Sheet'!D$75</f>
        <v>2.7568375979270646E-2</v>
      </c>
      <c r="F35" s="28">
        <f>'Data Sheet'!E63/'Data Sheet'!E$75</f>
        <v>5.8746150806684216E-2</v>
      </c>
      <c r="G35" s="28">
        <f>'Data Sheet'!F63/'Data Sheet'!F$75</f>
        <v>7.6197708099021207E-3</v>
      </c>
      <c r="H35" s="28">
        <f>'Data Sheet'!G63/'Data Sheet'!G$75</f>
        <v>7.9101542847063652E-3</v>
      </c>
      <c r="I35" s="28">
        <f>'Data Sheet'!H63/'Data Sheet'!H$75</f>
        <v>5.1841018510399316E-2</v>
      </c>
      <c r="J35" s="28">
        <f>'Data Sheet'!I63/'Data Sheet'!I$75</f>
        <v>5.2213588288759737E-2</v>
      </c>
      <c r="K35" s="28">
        <f>'Data Sheet'!J63/'Data Sheet'!J$75</f>
        <v>0.12656859272096596</v>
      </c>
      <c r="L35" s="28">
        <f>'Data Sheet'!K63/'Data Sheet'!K$75</f>
        <v>5.0453873394599356E-2</v>
      </c>
    </row>
    <row r="36" spans="2:12" x14ac:dyDescent="0.25">
      <c r="B36" t="str">
        <f>'Data Sheet'!A64</f>
        <v>Investments</v>
      </c>
      <c r="C36" s="28">
        <f>'Data Sheet'!B64/'Data Sheet'!B$75</f>
        <v>7.3794076163610724E-4</v>
      </c>
      <c r="D36" s="28">
        <f>'Data Sheet'!C64/'Data Sheet'!C$75</f>
        <v>1.424005372666559E-3</v>
      </c>
      <c r="E36" s="28">
        <f>'Data Sheet'!D64/'Data Sheet'!D$75</f>
        <v>1.5600091742945367E-3</v>
      </c>
      <c r="F36" s="28">
        <f>'Data Sheet'!E64/'Data Sheet'!E$75</f>
        <v>1.8739548616957958E-3</v>
      </c>
      <c r="G36" s="28">
        <f>'Data Sheet'!F64/'Data Sheet'!F$75</f>
        <v>0</v>
      </c>
      <c r="H36" s="28">
        <f>'Data Sheet'!G64/'Data Sheet'!G$75</f>
        <v>0</v>
      </c>
      <c r="I36" s="28">
        <f>'Data Sheet'!H64/'Data Sheet'!H$75</f>
        <v>0</v>
      </c>
      <c r="J36" s="28">
        <f>'Data Sheet'!I64/'Data Sheet'!I$75</f>
        <v>8.6071556449169574E-7</v>
      </c>
      <c r="K36" s="28">
        <f>'Data Sheet'!J64/'Data Sheet'!J$75</f>
        <v>1.3880127844668989E-3</v>
      </c>
      <c r="L36" s="28">
        <f>'Data Sheet'!K64/'Data Sheet'!K$75</f>
        <v>2.573051972622727E-3</v>
      </c>
    </row>
    <row r="37" spans="2:12" x14ac:dyDescent="0.25">
      <c r="B37" t="str">
        <f>'Data Sheet'!A65</f>
        <v>Other Assets</v>
      </c>
      <c r="C37" s="28">
        <f>'Data Sheet'!B74/'Data Sheet'!B$75</f>
        <v>7.0828772919605057E-2</v>
      </c>
      <c r="D37" s="28">
        <f>'Data Sheet'!C74/'Data Sheet'!C$75</f>
        <v>6.6223504587079901E-2</v>
      </c>
      <c r="E37" s="28">
        <f>'Data Sheet'!D74/'Data Sheet'!D$75</f>
        <v>8.6780486048058908E-2</v>
      </c>
      <c r="F37" s="28">
        <f>'Data Sheet'!E74/'Data Sheet'!E$75</f>
        <v>7.4613080004868299E-2</v>
      </c>
      <c r="G37" s="28">
        <f>'Data Sheet'!F74/'Data Sheet'!F$75</f>
        <v>7.2540647931247773E-2</v>
      </c>
      <c r="H37" s="28">
        <f>'Data Sheet'!G74/'Data Sheet'!G$75</f>
        <v>7.236335096012135E-2</v>
      </c>
      <c r="I37" s="28">
        <f>'Data Sheet'!H74/'Data Sheet'!H$75</f>
        <v>7.9976157369711101E-2</v>
      </c>
      <c r="J37" s="28">
        <f>'Data Sheet'!I74/'Data Sheet'!I$75</f>
        <v>0.12918307764342962</v>
      </c>
      <c r="K37" s="28">
        <f>'Data Sheet'!J74/'Data Sheet'!J$75</f>
        <v>0.12279633216963254</v>
      </c>
      <c r="L37" s="28">
        <f>'Data Sheet'!K74/'Data Sheet'!K$75</f>
        <v>0.10418568526860714</v>
      </c>
    </row>
    <row r="38" spans="2:12" x14ac:dyDescent="0.25">
      <c r="B38" t="str">
        <f>'Data Sheet'!A67</f>
        <v>Receivables</v>
      </c>
      <c r="C38" s="28">
        <f>'Data Sheet'!B67/'Data Sheet'!B$75</f>
        <v>2.2095345557122708E-2</v>
      </c>
      <c r="D38" s="28">
        <f>'Data Sheet'!C67/'Data Sheet'!C$75</f>
        <v>2.7226070698653931E-2</v>
      </c>
      <c r="E38" s="28">
        <f>'Data Sheet'!D67/'Data Sheet'!D$75</f>
        <v>2.8480118886725896E-2</v>
      </c>
      <c r="F38" s="28">
        <f>'Data Sheet'!E67/'Data Sheet'!E$75</f>
        <v>2.1345412895276934E-2</v>
      </c>
      <c r="G38" s="28">
        <f>'Data Sheet'!F67/'Data Sheet'!F$75</f>
        <v>2.0602752287005796E-2</v>
      </c>
      <c r="H38" s="28">
        <f>'Data Sheet'!G67/'Data Sheet'!G$75</f>
        <v>2.8624293715085292E-2</v>
      </c>
      <c r="I38" s="28">
        <f>'Data Sheet'!H67/'Data Sheet'!H$75</f>
        <v>2.30962432198825E-2</v>
      </c>
      <c r="J38" s="28">
        <f>'Data Sheet'!I67/'Data Sheet'!I$75</f>
        <v>2.5764659707494416E-2</v>
      </c>
      <c r="K38" s="28">
        <f>'Data Sheet'!J67/'Data Sheet'!J$75</f>
        <v>2.366403769495061E-2</v>
      </c>
      <c r="L38" s="28">
        <f>'Data Sheet'!K67/'Data Sheet'!K$75</f>
        <v>3.6577987907953066E-2</v>
      </c>
    </row>
    <row r="39" spans="2:12" x14ac:dyDescent="0.25">
      <c r="B39" t="str">
        <f>'Data Sheet'!A68</f>
        <v>Inventory</v>
      </c>
      <c r="C39" s="28">
        <f>'Data Sheet'!B68/'Data Sheet'!B$75</f>
        <v>9.5833004231311719E-2</v>
      </c>
      <c r="D39" s="28">
        <f>'Data Sheet'!C68/'Data Sheet'!C$75</f>
        <v>0.10155210367256583</v>
      </c>
      <c r="E39" s="28">
        <f>'Data Sheet'!D68/'Data Sheet'!D$75</f>
        <v>8.319227539564146E-2</v>
      </c>
      <c r="F39" s="28">
        <f>'Data Sheet'!E68/'Data Sheet'!E$75</f>
        <v>9.6431983274452682E-2</v>
      </c>
      <c r="G39" s="28">
        <f>'Data Sheet'!F68/'Data Sheet'!F$75</f>
        <v>0.10524763658158599</v>
      </c>
      <c r="H39" s="28">
        <f>'Data Sheet'!G68/'Data Sheet'!G$75</f>
        <v>0.10995138131749883</v>
      </c>
      <c r="I39" s="28">
        <f>'Data Sheet'!H68/'Data Sheet'!H$75</f>
        <v>0.15116582528487976</v>
      </c>
      <c r="J39" s="28">
        <f>'Data Sheet'!I68/'Data Sheet'!I$75</f>
        <v>0.17161721568843472</v>
      </c>
      <c r="K39" s="28">
        <f>'Data Sheet'!J68/'Data Sheet'!J$75</f>
        <v>0.14160166666886151</v>
      </c>
      <c r="L39" s="28">
        <f>'Data Sheet'!K68/'Data Sheet'!K$75</f>
        <v>0.12070554382426443</v>
      </c>
    </row>
    <row r="40" spans="2:12" x14ac:dyDescent="0.25">
      <c r="B40" t="str">
        <f>'Data Sheet'!A69</f>
        <v>Cash &amp; Bank</v>
      </c>
      <c r="C40" s="28">
        <f>'Data Sheet'!B69/'Data Sheet'!B$75</f>
        <v>1.3104654442877292E-2</v>
      </c>
      <c r="D40" s="28">
        <f>'Data Sheet'!C69/'Data Sheet'!C$75</f>
        <v>1.3618217319387615E-2</v>
      </c>
      <c r="E40" s="28">
        <f>'Data Sheet'!D69/'Data Sheet'!D$75</f>
        <v>1.7905038469485046E-2</v>
      </c>
      <c r="F40" s="28">
        <f>'Data Sheet'!E69/'Data Sheet'!E$75</f>
        <v>1.5585169081078558E-2</v>
      </c>
      <c r="G40" s="28">
        <f>'Data Sheet'!F69/'Data Sheet'!F$75</f>
        <v>2.0426048106519192E-2</v>
      </c>
      <c r="H40" s="28">
        <f>'Data Sheet'!G69/'Data Sheet'!G$75</f>
        <v>2.2498126635864184E-2</v>
      </c>
      <c r="I40" s="28">
        <f>'Data Sheet'!H69/'Data Sheet'!H$75</f>
        <v>3.5139694430177844E-2</v>
      </c>
      <c r="J40" s="28">
        <f>'Data Sheet'!I69/'Data Sheet'!I$75</f>
        <v>2.4553632908254602E-2</v>
      </c>
      <c r="K40" s="28">
        <f>'Data Sheet'!J69/'Data Sheet'!J$75</f>
        <v>3.0279485724143653E-2</v>
      </c>
      <c r="L40" s="28">
        <f>'Data Sheet'!K69/'Data Sheet'!K$75</f>
        <v>0.10595136110124895</v>
      </c>
    </row>
  </sheetData>
  <mergeCells count="2">
    <mergeCell ref="B2:L2"/>
    <mergeCell ref="B23:L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" sqref="B2:O2"/>
    </sheetView>
  </sheetViews>
  <sheetFormatPr defaultRowHeight="15" x14ac:dyDescent="0.25"/>
  <cols>
    <col min="1" max="1" width="1.85546875" customWidth="1"/>
    <col min="2" max="2" width="28.85546875" bestFit="1" customWidth="1"/>
    <col min="3" max="3" width="10.140625" bestFit="1" customWidth="1"/>
    <col min="10" max="11" width="9.85546875" bestFit="1" customWidth="1"/>
    <col min="12" max="12" width="9.85546875" customWidth="1"/>
    <col min="13" max="13" width="20.85546875" style="73" hidden="1" customWidth="1"/>
    <col min="14" max="15" width="9.140625" bestFit="1" customWidth="1"/>
  </cols>
  <sheetData>
    <row r="2" spans="2:15" x14ac:dyDescent="0.25">
      <c r="B2" s="265" t="str">
        <f>"Ratio Analysis - "&amp;'Data Sheet'!$B$1</f>
        <v>Ratio Analysis - VARUN BEVERAGES LTD</v>
      </c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</row>
    <row r="3" spans="2:15" x14ac:dyDescent="0.25">
      <c r="B3" s="8" t="s">
        <v>54</v>
      </c>
      <c r="C3" s="9">
        <f>'Data Sheet'!B16</f>
        <v>42369</v>
      </c>
      <c r="D3" s="9">
        <f>'Data Sheet'!C16</f>
        <v>42735</v>
      </c>
      <c r="E3" s="9">
        <f>'Data Sheet'!D16</f>
        <v>43100</v>
      </c>
      <c r="F3" s="9">
        <f>'Data Sheet'!E16</f>
        <v>43465</v>
      </c>
      <c r="G3" s="9">
        <f>'Data Sheet'!F16</f>
        <v>43830</v>
      </c>
      <c r="H3" s="9">
        <f>'Data Sheet'!G16</f>
        <v>44196</v>
      </c>
      <c r="I3" s="9">
        <f>'Data Sheet'!H16</f>
        <v>44561</v>
      </c>
      <c r="J3" s="9">
        <f>'Data Sheet'!I16</f>
        <v>44926</v>
      </c>
      <c r="K3" s="9">
        <f>'Data Sheet'!J16</f>
        <v>45291</v>
      </c>
      <c r="L3" s="9">
        <f>'Data Sheet'!K16</f>
        <v>45657</v>
      </c>
      <c r="M3" s="47" t="s">
        <v>160</v>
      </c>
      <c r="N3" s="47" t="s">
        <v>161</v>
      </c>
      <c r="O3" s="47" t="s">
        <v>162</v>
      </c>
    </row>
    <row r="4" spans="2:15" s="12" customFormat="1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48"/>
    </row>
    <row r="5" spans="2:15" x14ac:dyDescent="0.25">
      <c r="B5" s="49" t="s">
        <v>58</v>
      </c>
      <c r="C5" s="49"/>
      <c r="D5" s="50">
        <f>IFERROR('Historical''FS'!D7,0)</f>
        <v>0.13760186674680486</v>
      </c>
      <c r="E5" s="50">
        <f>IFERROR('Historical''FS'!E7,0)</f>
        <v>3.6869558010763637E-2</v>
      </c>
      <c r="F5" s="50">
        <f>IFERROR('Historical''FS'!F7,0)</f>
        <v>0.27518645998291524</v>
      </c>
      <c r="G5" s="50">
        <f>IFERROR('Historical''FS'!G7,0)</f>
        <v>0.39651653392775277</v>
      </c>
      <c r="H5" s="50">
        <f>IFERROR('Historical''FS'!H7,0)</f>
        <v>-9.5298741300329004E-2</v>
      </c>
      <c r="I5" s="50">
        <f>IFERROR('Historical''FS'!I7,0)</f>
        <v>0.36791294452523493</v>
      </c>
      <c r="J5" s="50">
        <f>IFERROR('Historical''FS'!J7,0)</f>
        <v>0.49300652935489619</v>
      </c>
      <c r="K5" s="50">
        <f>IFERROR('Historical''FS'!K7,0)</f>
        <v>0.21782505917343942</v>
      </c>
      <c r="L5" s="50">
        <f>IFERROR('Historical''FS'!L7,0)</f>
        <v>0.24715912278448982</v>
      </c>
      <c r="M5" s="52" t="s">
        <v>163</v>
      </c>
      <c r="N5" s="51">
        <f>IFERROR(AVERAGE(D5:L5),0)</f>
        <v>0.23075325924510753</v>
      </c>
      <c r="O5" s="51">
        <f>IFERROR(MEDIAN(C5:L5),0)</f>
        <v>0.24715912278448982</v>
      </c>
    </row>
    <row r="6" spans="2:15" x14ac:dyDescent="0.25">
      <c r="B6" s="39" t="s">
        <v>164</v>
      </c>
      <c r="C6" s="39"/>
      <c r="D6" s="53">
        <f>IFERROR('Historical''FS'!D18/'Historical''FS'!C18-1,0)</f>
        <v>0.25999657571559909</v>
      </c>
      <c r="E6" s="53">
        <f>IFERROR('Historical''FS'!E18/'Historical''FS'!D18-1,0)</f>
        <v>3.5601783795135011E-2</v>
      </c>
      <c r="F6" s="53">
        <f>IFERROR('Historical''FS'!F18/'Historical''FS'!E18-1,0)</f>
        <v>0.23555163241205745</v>
      </c>
      <c r="G6" s="53">
        <f>IFERROR('Historical''FS'!G18/'Historical''FS'!F18-1,0)</f>
        <v>0.41177833558602006</v>
      </c>
      <c r="H6" s="53">
        <f>IFERROR('Historical''FS'!H18/'Historical''FS'!G18-1,0)</f>
        <v>-0.16915586191804777</v>
      </c>
      <c r="I6" s="53">
        <f>IFERROR('Historical''FS'!I18/'Historical''FS'!H18-1,0)</f>
        <v>0.39424343188252964</v>
      </c>
      <c r="J6" s="53">
        <f>IFERROR('Historical''FS'!J18/'Historical''FS'!I18-1,0)</f>
        <v>0.69013253047610634</v>
      </c>
      <c r="K6" s="53">
        <f>IFERROR('Historical''FS'!K18/'Historical''FS'!J18-1,0)</f>
        <v>0.29819769472581292</v>
      </c>
      <c r="L6" s="53">
        <f>IFERROR('Historical''FS'!L18/'Historical''FS'!K18-1,0)</f>
        <v>0.2954739906477184</v>
      </c>
      <c r="M6" s="54" t="s">
        <v>163</v>
      </c>
      <c r="N6" s="53">
        <f t="shared" ref="N6:N9" si="0">IFERROR(AVERAGE(D6:L6),0)</f>
        <v>0.27242445703588125</v>
      </c>
      <c r="O6" s="53">
        <f t="shared" ref="O6:O9" si="1">IFERROR(MEDIAN(C6:L6),0)</f>
        <v>0.2954739906477184</v>
      </c>
    </row>
    <row r="7" spans="2:15" x14ac:dyDescent="0.25">
      <c r="B7" s="39" t="s">
        <v>192</v>
      </c>
      <c r="C7" s="39"/>
      <c r="D7" s="53">
        <f>IFERROR('Historical''FS'!D27/'Historical''FS'!C27-1,0)</f>
        <v>-0.66070621651281147</v>
      </c>
      <c r="E7" s="53">
        <f>IFERROR('Historical''FS'!E27/'Historical''FS'!D27-1,0)</f>
        <v>4.2720700152206836</v>
      </c>
      <c r="F7" s="53">
        <f>IFERROR('Historical''FS'!F27/'Historical''FS'!E27-1,0)</f>
        <v>0.54431613136052026</v>
      </c>
      <c r="G7" s="53">
        <f>IFERROR('Historical''FS'!G27/'Historical''FS'!F27-1,0)</f>
        <v>0.51749117846376658</v>
      </c>
      <c r="H7" s="53">
        <f>IFERROR('Historical''FS'!H27/'Historical''FS'!G27-1,0)</f>
        <v>-0.39554652129723689</v>
      </c>
      <c r="I7" s="53">
        <f>IFERROR('Historical''FS'!I27/'Historical''FS'!H27-1,0)</f>
        <v>1.4348313461734388</v>
      </c>
      <c r="J7" s="53">
        <f>IFERROR('Historical''FS'!J27/'Historical''FS'!I27-1,0)</f>
        <v>1.1363160758381126</v>
      </c>
      <c r="K7" s="53">
        <f>IFERROR('Historical''FS'!K27/'Historical''FS'!J27-1,0)</f>
        <v>0.34407754246419797</v>
      </c>
      <c r="L7" s="53">
        <f>IFERROR('Historical''FS'!L27/'Historical''FS'!K27-1,0)</f>
        <v>0.23338422799838243</v>
      </c>
      <c r="M7" s="54" t="s">
        <v>163</v>
      </c>
      <c r="N7" s="53">
        <f t="shared" si="0"/>
        <v>0.82513708663433916</v>
      </c>
      <c r="O7" s="53">
        <f t="shared" si="1"/>
        <v>0.51749117846376658</v>
      </c>
    </row>
    <row r="8" spans="2:15" x14ac:dyDescent="0.25">
      <c r="B8" s="39" t="s">
        <v>165</v>
      </c>
      <c r="C8" s="39"/>
      <c r="D8" s="53">
        <f>IFERROR('Historical''FS'!D33/'Historical''FS'!C33-1,0)</f>
        <v>-0.72048382855639836</v>
      </c>
      <c r="E8" s="53">
        <f>IFERROR('Historical''FS'!E33/'Historical''FS'!D33-1,0)</f>
        <v>8.4167450611476191</v>
      </c>
      <c r="F8" s="53">
        <f>IFERROR('Historical''FS'!F33/'Historical''FS'!E33-1,0)</f>
        <v>0.46853146853146921</v>
      </c>
      <c r="G8" s="53">
        <f>IFERROR('Historical''FS'!G33/'Historical''FS'!F33-1,0)</f>
        <v>0.44663265306122324</v>
      </c>
      <c r="H8" s="53">
        <f>IFERROR('Historical''FS'!H33/'Historical''FS'!G33-1,0)</f>
        <v>-8.9393618772188987E-2</v>
      </c>
      <c r="I8" s="53">
        <f>IFERROR('Historical''FS'!I33/'Historical''FS'!H33-1,0)</f>
        <v>0.79495984920859919</v>
      </c>
      <c r="J8" s="53">
        <f>IFERROR('Historical''FS'!J33/'Historical''FS'!I33-1,0)</f>
        <v>1.255836701813946</v>
      </c>
      <c r="K8" s="53">
        <f>IFERROR('Historical''FS'!K33/'Historical''FS'!J33-1,0)</f>
        <v>0.34338313597204562</v>
      </c>
      <c r="L8" s="53">
        <f>IFERROR('Historical''FS'!L33/'Historical''FS'!K33-1,0)</f>
        <v>0.22747166157176268</v>
      </c>
      <c r="M8" s="54" t="s">
        <v>163</v>
      </c>
      <c r="N8" s="53">
        <f t="shared" si="0"/>
        <v>1.2381870093308975</v>
      </c>
      <c r="O8" s="53">
        <f t="shared" si="1"/>
        <v>0.44663265306122324</v>
      </c>
    </row>
    <row r="9" spans="2:15" x14ac:dyDescent="0.25">
      <c r="B9" s="55" t="s">
        <v>166</v>
      </c>
      <c r="C9" s="55"/>
      <c r="D9" s="56">
        <f>IFERROR('Historical''FS'!D41/'Historical''FS'!C41-1,0)</f>
        <v>-0.26619610042209996</v>
      </c>
      <c r="E9" s="56">
        <f>IFERROR('Historical''FS'!E41/'Historical''FS'!D41-1,0)</f>
        <v>0.57813364042362392</v>
      </c>
      <c r="F9" s="56">
        <f>IFERROR('Historical''FS'!F41/'Historical''FS'!E41-1,0)</f>
        <v>-1.9467246357995904E-4</v>
      </c>
      <c r="G9" s="56">
        <f>IFERROR('Historical''FS'!G41/'Historical''FS'!F41-1,0)</f>
        <v>0.42358085123406131</v>
      </c>
      <c r="H9" s="56">
        <f>IFERROR('Historical''FS'!H41/'Historical''FS'!G41-1,0)</f>
        <v>1.0999445778680954</v>
      </c>
      <c r="I9" s="56">
        <f>IFERROR('Historical''FS'!I41/'Historical''FS'!H41-1,0)</f>
        <v>0.42865311596814704</v>
      </c>
      <c r="J9" s="56">
        <f>IFERROR('Historical''FS'!J41/'Historical''FS'!I41-1,0)</f>
        <v>4.1102216748768239E-2</v>
      </c>
      <c r="K9" s="56">
        <f>IFERROR('Historical''FS'!K41/'Historical''FS'!J41-1,0)</f>
        <v>-1</v>
      </c>
      <c r="L9" s="56">
        <f>IFERROR('Historical''FS'!L41/'Historical''FS'!K41-1,0)</f>
        <v>0</v>
      </c>
      <c r="M9" s="58" t="s">
        <v>163</v>
      </c>
      <c r="N9" s="57">
        <f t="shared" si="0"/>
        <v>0.14500262548411291</v>
      </c>
      <c r="O9" s="57">
        <f t="shared" si="1"/>
        <v>4.1102216748768239E-2</v>
      </c>
    </row>
    <row r="10" spans="2:15" x14ac:dyDescent="0.25">
      <c r="M10" s="59"/>
    </row>
    <row r="11" spans="2:15" x14ac:dyDescent="0.25">
      <c r="B11" s="49" t="s">
        <v>167</v>
      </c>
      <c r="C11" s="50">
        <f>IFERROR('Historical''FS'!C13,0)</f>
        <v>0.3213921641417265</v>
      </c>
      <c r="D11" s="50">
        <f>IFERROR('Historical''FS'!D13,0)</f>
        <v>0.36024479563242334</v>
      </c>
      <c r="E11" s="50">
        <f>IFERROR('Historical''FS'!E13,0)</f>
        <v>0.35362953785899481</v>
      </c>
      <c r="F11" s="50">
        <f>IFERROR('Historical''FS'!F13,0)</f>
        <v>0.37050218793949774</v>
      </c>
      <c r="G11" s="50">
        <f>IFERROR('Historical''FS'!G13,0)</f>
        <v>0.36104651325884551</v>
      </c>
      <c r="H11" s="50">
        <f>IFERROR('Historical''FS'!H13,0)</f>
        <v>0.35111951058426644</v>
      </c>
      <c r="I11" s="50">
        <f>IFERROR('Historical''FS'!I13,0)</f>
        <v>0.35302944613253862</v>
      </c>
      <c r="J11" s="50">
        <f>IFERROR('Historical''FS'!J13,0)</f>
        <v>0.3587238881542289</v>
      </c>
      <c r="K11" s="50">
        <f>IFERROR('Historical''FS'!K13,0)</f>
        <v>0.38042945710727327</v>
      </c>
      <c r="L11" s="50">
        <f>IFERROR('Historical''FS'!L13,0)</f>
        <v>0.39519933625388287</v>
      </c>
      <c r="M11" s="52" t="s">
        <v>163</v>
      </c>
      <c r="N11" s="51">
        <f>IFERROR(AVERAGE(C11:L11),0)</f>
        <v>0.36053168370636779</v>
      </c>
      <c r="O11" s="51">
        <f>IFERROR(MEDIAN(C11:L11),0)</f>
        <v>0.35948434189332612</v>
      </c>
    </row>
    <row r="12" spans="2:15" x14ac:dyDescent="0.25">
      <c r="B12" s="39" t="s">
        <v>168</v>
      </c>
      <c r="C12" s="53">
        <f>IFERROR('Historical''FS'!C19,0)</f>
        <v>0.18928800815523211</v>
      </c>
      <c r="D12" s="53">
        <f>IFERROR('Historical''FS'!D19,0)</f>
        <v>0.20965352560616191</v>
      </c>
      <c r="E12" s="53">
        <f>IFERROR('Historical''FS'!E19,0)</f>
        <v>0.20939718349260905</v>
      </c>
      <c r="F12" s="53">
        <f>IFERROR('Historical''FS'!F19,0)</f>
        <v>0.20288878529203216</v>
      </c>
      <c r="G12" s="53">
        <f>IFERROR('Historical''FS'!G19,0)</f>
        <v>0.20510605112783642</v>
      </c>
      <c r="H12" s="53">
        <f>IFERROR('Historical''FS'!H19,0)</f>
        <v>0.18836180299962485</v>
      </c>
      <c r="I12" s="53">
        <f>IFERROR('Historical''FS'!I19,0)</f>
        <v>0.19198751477633461</v>
      </c>
      <c r="J12" s="53">
        <f>IFERROR('Historical''FS'!J19,0)</f>
        <v>0.21733618560191406</v>
      </c>
      <c r="K12" s="53">
        <f>IFERROR('Historical''FS'!K19,0)</f>
        <v>0.23167969241855113</v>
      </c>
      <c r="L12" s="53">
        <f>IFERROR('Historical''FS'!L19,0)</f>
        <v>0.2406549494818232</v>
      </c>
      <c r="M12" s="54" t="s">
        <v>163</v>
      </c>
      <c r="N12" s="53">
        <f t="shared" ref="N12:N15" si="2">IFERROR(AVERAGE(C12:L12),0)</f>
        <v>0.20863536989521192</v>
      </c>
      <c r="O12" s="53">
        <f t="shared" ref="O12:O15" si="3">IFERROR(MEDIAN(C12:L12),0)</f>
        <v>0.20725161731022274</v>
      </c>
    </row>
    <row r="13" spans="2:15" x14ac:dyDescent="0.25">
      <c r="B13" s="39" t="s">
        <v>169</v>
      </c>
      <c r="C13" s="53">
        <f>IFERROR(('Historical''FS'!C18-'Historical''FS'!C24)/'Historical''FS'!C6,0)</f>
        <v>9.5770946395846795E-2</v>
      </c>
      <c r="D13" s="53">
        <f>IFERROR(('Historical''FS'!D18-'Historical''FS'!D24)/'Historical''FS'!D6,0)</f>
        <v>0.12620494253052184</v>
      </c>
      <c r="E13" s="53">
        <f>IFERROR(('Historical''FS'!E18-'Historical''FS'!E24)/'Historical''FS'!E6,0)</f>
        <v>0.12281380977834618</v>
      </c>
      <c r="F13" s="53">
        <f>IFERROR(('Historical''FS'!F18-'Historical''FS'!F24)/'Historical''FS'!F6,0)</f>
        <v>0.12746265616246777</v>
      </c>
      <c r="G13" s="53">
        <f>IFERROR(('Historical''FS'!G18-'Historical''FS'!G24)/'Historical''FS'!G6,0)</f>
        <v>0.13657045716577976</v>
      </c>
      <c r="H13" s="53">
        <f>IFERROR(('Historical''FS'!H18-'Historical''FS'!H24)/'Historical''FS'!H6,0)</f>
        <v>0.10639458988487074</v>
      </c>
      <c r="I13" s="53">
        <f>IFERROR(('Historical''FS'!I18-'Historical''FS'!I24)/'Historical''FS'!I6,0)</f>
        <v>0.13177600493243391</v>
      </c>
      <c r="J13" s="53">
        <f>IFERROR(('Historical''FS'!J18-'Historical''FS'!J24)/'Historical''FS'!J6,0)</f>
        <v>0.17048403038303686</v>
      </c>
      <c r="K13" s="53">
        <f>IFERROR(('Historical''FS'!K18-'Historical''FS'!K24)/'Historical''FS'!K6,0)</f>
        <v>0.18923577130361824</v>
      </c>
      <c r="L13" s="53">
        <f>IFERROR(('Historical''FS'!L18-'Historical''FS'!L24)/'Historical''FS'!L6,0)</f>
        <v>0.19330356138776919</v>
      </c>
      <c r="M13" s="54" t="s">
        <v>163</v>
      </c>
      <c r="N13" s="53">
        <f t="shared" si="2"/>
        <v>0.14000167699246913</v>
      </c>
      <c r="O13" s="53">
        <f t="shared" si="3"/>
        <v>0.12961933054745084</v>
      </c>
    </row>
    <row r="14" spans="2:15" x14ac:dyDescent="0.25">
      <c r="B14" s="39" t="s">
        <v>170</v>
      </c>
      <c r="C14" s="53">
        <f>IFERROR('Historical''FS'!C28,0)</f>
        <v>4.5640427324741883E-2</v>
      </c>
      <c r="D14" s="53">
        <f>IFERROR('Historical''FS'!D28,0)</f>
        <v>1.3612419001445199E-2</v>
      </c>
      <c r="E14" s="53">
        <f>IFERROR('Historical''FS'!E28,0)</f>
        <v>6.9213745834936086E-2</v>
      </c>
      <c r="F14" s="53">
        <f>IFERROR('Historical''FS'!F28,0)</f>
        <v>8.382139205446934E-2</v>
      </c>
      <c r="G14" s="53">
        <f>IFERROR('Historical''FS'!G28,0)</f>
        <v>9.1082504158730232E-2</v>
      </c>
      <c r="H14" s="53">
        <f>IFERROR('Historical''FS'!H28,0)</f>
        <v>6.0854493080770372E-2</v>
      </c>
      <c r="I14" s="53">
        <f>IFERROR('Historical''FS'!I28,0)</f>
        <v>0.10831860894479671</v>
      </c>
      <c r="J14" s="53">
        <f>IFERROR('Historical''FS'!J28,0)</f>
        <v>0.15499114106431711</v>
      </c>
      <c r="K14" s="53">
        <f>IFERROR('Historical''FS'!K28,0)</f>
        <v>0.17105914385342005</v>
      </c>
      <c r="L14" s="53">
        <f>IFERROR('Historical''FS'!L28,0)</f>
        <v>0.16916979255434797</v>
      </c>
      <c r="M14" s="54" t="s">
        <v>163</v>
      </c>
      <c r="N14" s="53">
        <f t="shared" si="2"/>
        <v>9.677636678719749E-2</v>
      </c>
      <c r="O14" s="53">
        <f t="shared" si="3"/>
        <v>8.7451948106599786E-2</v>
      </c>
    </row>
    <row r="15" spans="2:15" x14ac:dyDescent="0.25">
      <c r="B15" s="55" t="s">
        <v>171</v>
      </c>
      <c r="C15" s="56">
        <f>IFERROR('Historical''FS'!C34,0)</f>
        <v>2.2409211169839609E-2</v>
      </c>
      <c r="D15" s="56">
        <f>IFERROR('Historical''FS'!D34,0)</f>
        <v>5.5060888122284313E-3</v>
      </c>
      <c r="E15" s="56">
        <f>IFERROR('Historical''FS'!E34,0)</f>
        <v>5.0005744915749564E-2</v>
      </c>
      <c r="F15" s="56">
        <f>IFERROR('Historical''FS'!F34,0)</f>
        <v>5.7587664487215175E-2</v>
      </c>
      <c r="G15" s="56">
        <f>IFERROR('Historical''FS'!G34,0)</f>
        <v>5.9654285385674875E-2</v>
      </c>
      <c r="H15" s="56">
        <f>IFERROR('Historical''FS'!H34,0)</f>
        <v>6.0043657967113917E-2</v>
      </c>
      <c r="I15" s="56">
        <f>IFERROR('Historical''FS'!I34,0)</f>
        <v>7.8788606893393773E-2</v>
      </c>
      <c r="J15" s="56">
        <f>IFERROR('Historical''FS'!J34,0)</f>
        <v>0.11904451026862221</v>
      </c>
      <c r="K15" s="56">
        <f>IFERROR('Historical''FS'!K34,0)</f>
        <v>0.13131802989294736</v>
      </c>
      <c r="L15" s="56">
        <f>IFERROR('Historical''FS'!L34,0)</f>
        <v>0.12924506376311062</v>
      </c>
      <c r="M15" s="58" t="s">
        <v>163</v>
      </c>
      <c r="N15" s="57">
        <f t="shared" si="2"/>
        <v>7.1360286355589567E-2</v>
      </c>
      <c r="O15" s="57">
        <f t="shared" si="3"/>
        <v>5.98489716763944E-2</v>
      </c>
    </row>
    <row r="16" spans="2:15" x14ac:dyDescent="0.25">
      <c r="M16" s="59"/>
    </row>
    <row r="17" spans="2:15" x14ac:dyDescent="0.25">
      <c r="B17" s="49" t="s">
        <v>172</v>
      </c>
      <c r="C17" s="50">
        <f>IFERROR('Historical''FS'!C16,0)</f>
        <v>0.13210415598649439</v>
      </c>
      <c r="D17" s="50">
        <f>IFERROR('Historical''FS'!D16,0)</f>
        <v>0.15059127002626141</v>
      </c>
      <c r="E17" s="50">
        <f>IFERROR('Historical''FS'!E16,0)</f>
        <v>0.14423235436638573</v>
      </c>
      <c r="F17" s="50">
        <f>IFERROR('Historical''FS'!F16,0)</f>
        <v>0.16761340264746552</v>
      </c>
      <c r="G17" s="50">
        <f>IFERROR('Historical''FS'!G16,0)</f>
        <v>0.15594046213100909</v>
      </c>
      <c r="H17" s="50">
        <f>IFERROR('Historical''FS'!H16,0)</f>
        <v>0.16275770758464159</v>
      </c>
      <c r="I17" s="50">
        <f>IFERROR('Historical''FS'!I16,0)</f>
        <v>0.16104193135620404</v>
      </c>
      <c r="J17" s="50">
        <f>IFERROR('Historical''FS'!J16,0)</f>
        <v>0.14138770255231481</v>
      </c>
      <c r="K17" s="50">
        <f>IFERROR('Historical''FS'!K16,0)</f>
        <v>0.14874976468872214</v>
      </c>
      <c r="L17" s="50">
        <f>IFERROR('Historical''FS'!L16,0)</f>
        <v>0.15454438677205967</v>
      </c>
      <c r="M17" s="52" t="s">
        <v>163</v>
      </c>
      <c r="N17" s="51">
        <f t="shared" ref="N17:N19" si="4">IFERROR(AVERAGE(C17:L17),0)</f>
        <v>0.15189631381115584</v>
      </c>
      <c r="O17" s="51">
        <f t="shared" ref="O17:O19" si="5">IFERROR(MEDIAN(C17:L17),0)</f>
        <v>0.15256782839916055</v>
      </c>
    </row>
    <row r="18" spans="2:15" x14ac:dyDescent="0.25">
      <c r="B18" s="39" t="s">
        <v>173</v>
      </c>
      <c r="C18" s="53">
        <f>IFERROR('Historical''FS'!C25,0)</f>
        <v>9.3517061759385303E-2</v>
      </c>
      <c r="D18" s="53">
        <f>IFERROR('Historical''FS'!D25,0)</f>
        <v>8.3448583075640084E-2</v>
      </c>
      <c r="E18" s="53">
        <f>IFERROR('Historical''FS'!E25,0)</f>
        <v>8.6583373714262876E-2</v>
      </c>
      <c r="F18" s="53">
        <f>IFERROR('Historical''FS'!F25,0)</f>
        <v>7.5426129129564409E-2</v>
      </c>
      <c r="G18" s="53">
        <f>IFERROR('Historical''FS'!G25,0)</f>
        <v>6.8535593962056676E-2</v>
      </c>
      <c r="H18" s="53">
        <f>IFERROR('Historical''FS'!H25,0)</f>
        <v>8.1967213114754106E-2</v>
      </c>
      <c r="I18" s="53">
        <f>IFERROR('Historical''FS'!I25,0)</f>
        <v>6.0211509843900703E-2</v>
      </c>
      <c r="J18" s="53">
        <f>IFERROR('Historical''FS'!J25,0)</f>
        <v>4.6852155218877208E-2</v>
      </c>
      <c r="K18" s="53">
        <f>IFERROR('Historical''FS'!K25,0)</f>
        <v>4.2443921114932885E-2</v>
      </c>
      <c r="L18" s="53">
        <f>IFERROR('Historical''FS'!L25,0)</f>
        <v>4.7351388094054023E-2</v>
      </c>
      <c r="M18" s="54" t="s">
        <v>163</v>
      </c>
      <c r="N18" s="53">
        <f t="shared" si="4"/>
        <v>6.8633692902742821E-2</v>
      </c>
      <c r="O18" s="53">
        <f t="shared" si="5"/>
        <v>7.1980861545810543E-2</v>
      </c>
    </row>
    <row r="19" spans="2:15" x14ac:dyDescent="0.25">
      <c r="B19" s="55" t="s">
        <v>174</v>
      </c>
      <c r="C19" s="56">
        <f>C13</f>
        <v>9.5770946395846795E-2</v>
      </c>
      <c r="D19" s="56">
        <f t="shared" ref="D19:L19" si="6">D13</f>
        <v>0.12620494253052184</v>
      </c>
      <c r="E19" s="56">
        <f t="shared" si="6"/>
        <v>0.12281380977834618</v>
      </c>
      <c r="F19" s="56">
        <f t="shared" si="6"/>
        <v>0.12746265616246777</v>
      </c>
      <c r="G19" s="56">
        <f t="shared" si="6"/>
        <v>0.13657045716577976</v>
      </c>
      <c r="H19" s="56">
        <f t="shared" si="6"/>
        <v>0.10639458988487074</v>
      </c>
      <c r="I19" s="56">
        <f t="shared" si="6"/>
        <v>0.13177600493243391</v>
      </c>
      <c r="J19" s="56">
        <f t="shared" si="6"/>
        <v>0.17048403038303686</v>
      </c>
      <c r="K19" s="56">
        <f t="shared" si="6"/>
        <v>0.18923577130361824</v>
      </c>
      <c r="L19" s="56">
        <f t="shared" si="6"/>
        <v>0.19330356138776919</v>
      </c>
      <c r="M19" s="58" t="s">
        <v>163</v>
      </c>
      <c r="N19" s="57">
        <f t="shared" si="4"/>
        <v>0.14000167699246913</v>
      </c>
      <c r="O19" s="57">
        <f t="shared" si="5"/>
        <v>0.12961933054745084</v>
      </c>
    </row>
    <row r="20" spans="2:15" x14ac:dyDescent="0.25">
      <c r="M20" s="59"/>
    </row>
    <row r="21" spans="2:15" x14ac:dyDescent="0.25">
      <c r="B21" s="49" t="s">
        <v>175</v>
      </c>
      <c r="C21" s="50">
        <f>IFERROR(('Historical''FS'!C18-'Historical''FS'!C24)/SUM('Historical''FS'!C47:C49),0)</f>
        <v>0.11813361534799352</v>
      </c>
      <c r="D21" s="50">
        <f>IFERROR(('Historical''FS'!D18-'Historical''FS'!D24)/SUM('Historical''FS'!D47:D49),0)</f>
        <v>0.12466135753736905</v>
      </c>
      <c r="E21" s="50">
        <f>IFERROR(('Historical''FS'!E18-'Historical''FS'!E24)/SUM('Historical''FS'!E47:E49),0)</f>
        <v>0.11116336169183365</v>
      </c>
      <c r="F21" s="50">
        <f>IFERROR(('Historical''FS'!F18-'Historical''FS'!F24)/SUM('Historical''FS'!F47:F49),0)</f>
        <v>0.13538907741185141</v>
      </c>
      <c r="G21" s="50">
        <f>IFERROR(('Historical''FS'!G18-'Historical''FS'!G24)/SUM('Historical''FS'!G47:G49),0)</f>
        <v>0.14434446157495254</v>
      </c>
      <c r="H21" s="50">
        <f>IFERROR(('Historical''FS'!H18-'Historical''FS'!H24)/SUM('Historical''FS'!H47:H49),0)</f>
        <v>0.10181702726802008</v>
      </c>
      <c r="I21" s="50">
        <f>IFERROR(('Historical''FS'!I18-'Historical''FS'!I24)/SUM('Historical''FS'!I47:I49),0)</f>
        <v>0.15571734119761535</v>
      </c>
      <c r="J21" s="50">
        <f>IFERROR(('Historical''FS'!J18-'Historical''FS'!J24)/SUM('Historical''FS'!J47:J49),0)</f>
        <v>0.24991792962312148</v>
      </c>
      <c r="K21" s="50">
        <f>IFERROR(('Historical''FS'!K18-'Historical''FS'!K24)/SUM('Historical''FS'!K47:K49),0)</f>
        <v>0.245462211984175</v>
      </c>
      <c r="L21" s="50">
        <f>IFERROR(('Historical''FS'!L18-'Historical''FS'!L24)/SUM('Historical''FS'!L47:L49),0)</f>
        <v>0.19898817045412451</v>
      </c>
      <c r="M21" s="52" t="s">
        <v>163</v>
      </c>
      <c r="N21" s="51">
        <f t="shared" ref="N21:N25" si="7">IFERROR(AVERAGE(C21:L21),0)</f>
        <v>0.15855945540910565</v>
      </c>
      <c r="O21" s="51">
        <f t="shared" ref="O21:O25" si="8">IFERROR(MEDIAN(C21:L21),0)</f>
        <v>0.13986676949340199</v>
      </c>
    </row>
    <row r="22" spans="2:15" x14ac:dyDescent="0.25">
      <c r="B22" s="39" t="s">
        <v>176</v>
      </c>
      <c r="C22" s="53">
        <f>IFERROR('Historical''FS'!C44,0)</f>
        <v>0.39981593478832034</v>
      </c>
      <c r="D22" s="53">
        <f>IFERROR('Historical''FS'!D44,0)</f>
        <v>0</v>
      </c>
      <c r="E22" s="53">
        <f>IFERROR('Historical''FS'!E44,0)</f>
        <v>0.6395104895104895</v>
      </c>
      <c r="F22" s="53">
        <f>IFERROR('Historical''FS'!F44,0)</f>
        <v>0.7545238095238096</v>
      </c>
      <c r="G22" s="53">
        <f>IFERROR('Historical''FS'!G44,0)</f>
        <v>0.74545625543721039</v>
      </c>
      <c r="H22" s="53">
        <f>IFERROR('Historical''FS'!H44,0)</f>
        <v>0.4129980118257639</v>
      </c>
      <c r="I22" s="53">
        <f>IFERROR('Historical''FS'!I44,0)</f>
        <v>0.53277615547276125</v>
      </c>
      <c r="J22" s="53">
        <f>IFERROR('Historical''FS'!J44,0)</f>
        <v>0.78436924097207583</v>
      </c>
      <c r="K22" s="53">
        <f>IFERROR('Historical''FS'!K44,0)</f>
        <v>1</v>
      </c>
      <c r="L22" s="53">
        <f>IFERROR('Historical''FS'!L44,0)</f>
        <v>1</v>
      </c>
      <c r="M22" s="54" t="s">
        <v>163</v>
      </c>
      <c r="N22" s="53">
        <f t="shared" si="7"/>
        <v>0.62694498975304314</v>
      </c>
      <c r="O22" s="53">
        <f t="shared" si="8"/>
        <v>0.69248337247384995</v>
      </c>
    </row>
    <row r="23" spans="2:15" x14ac:dyDescent="0.25">
      <c r="B23" s="39" t="s">
        <v>177</v>
      </c>
      <c r="C23" s="53">
        <f>IFERROR('Historical''FS'!C33/SUM('Historical''FS'!C47:C48),0)</f>
        <v>0.33912965935437578</v>
      </c>
      <c r="D23" s="53">
        <f>IFERROR('Historical''FS'!D33/SUM('Historical''FS'!D47:D48),0)</f>
        <v>1.2553215359089374E-2</v>
      </c>
      <c r="E23" s="53">
        <f>IFERROR('Historical''FS'!E33/SUM('Historical''FS'!E47:E48),0)</f>
        <v>0.11314378076555728</v>
      </c>
      <c r="F23" s="53">
        <f>IFERROR('Historical''FS'!F33/SUM('Historical''FS'!F47:F48),0)</f>
        <v>0.14711033274956226</v>
      </c>
      <c r="G23" s="53">
        <f>IFERROR('Historical''FS'!G33/SUM('Historical''FS'!G47:G48),0)</f>
        <v>0.12778134970947172</v>
      </c>
      <c r="H23" s="53">
        <f>IFERROR('Historical''FS'!H33/SUM('Historical''FS'!H47:H48),0)</f>
        <v>0.10990068104426794</v>
      </c>
      <c r="I23" s="53">
        <f>IFERROR('Historical''FS'!I33/SUM('Historical''FS'!I47:I48),0)</f>
        <v>0.17038856249279977</v>
      </c>
      <c r="J23" s="53">
        <f>IFERROR('Historical''FS'!J33/SUM('Historical''FS'!J47:J48),0)</f>
        <v>0.30734480771718259</v>
      </c>
      <c r="K23" s="53">
        <f>IFERROR('Historical''FS'!K33/SUM('Historical''FS'!K47:K48),0)</f>
        <v>0.30370936351185746</v>
      </c>
      <c r="L23" s="53">
        <f>IFERROR('Historical''FS'!L33/SUM('Historical''FS'!L47:L48),0)</f>
        <v>0.15568431464981883</v>
      </c>
      <c r="M23" s="54" t="s">
        <v>163</v>
      </c>
      <c r="N23" s="53">
        <f t="shared" si="7"/>
        <v>0.17867460673539831</v>
      </c>
      <c r="O23" s="53">
        <f t="shared" si="8"/>
        <v>0.15139732369969056</v>
      </c>
    </row>
    <row r="24" spans="2:15" x14ac:dyDescent="0.25">
      <c r="B24" s="39" t="s">
        <v>178</v>
      </c>
      <c r="C24" s="53">
        <f>IFERROR(C22*C23,0)</f>
        <v>0.13558944176921439</v>
      </c>
      <c r="D24" s="53">
        <f t="shared" ref="D24:L24" si="9">IFERROR(D22*D23,0)</f>
        <v>0</v>
      </c>
      <c r="E24" s="53">
        <f t="shared" si="9"/>
        <v>7.235663462244904E-2</v>
      </c>
      <c r="F24" s="53">
        <f t="shared" si="9"/>
        <v>0.11099824868651496</v>
      </c>
      <c r="G24" s="53">
        <f t="shared" si="9"/>
        <v>9.5255406469135454E-2</v>
      </c>
      <c r="H24" s="53">
        <f t="shared" si="9"/>
        <v>4.5388762769580072E-2</v>
      </c>
      <c r="I24" s="53">
        <f t="shared" si="9"/>
        <v>9.077896326144419E-2</v>
      </c>
      <c r="J24" s="53">
        <f t="shared" si="9"/>
        <v>0.2410718135458351</v>
      </c>
      <c r="K24" s="53">
        <f t="shared" si="9"/>
        <v>0.30370936351185746</v>
      </c>
      <c r="L24" s="53">
        <f t="shared" si="9"/>
        <v>0.15568431464981883</v>
      </c>
      <c r="M24" s="54" t="s">
        <v>163</v>
      </c>
      <c r="N24" s="53">
        <f t="shared" si="7"/>
        <v>0.12508329492858494</v>
      </c>
      <c r="O24" s="53">
        <f t="shared" si="8"/>
        <v>0.10312682757782521</v>
      </c>
    </row>
    <row r="25" spans="2:15" x14ac:dyDescent="0.25">
      <c r="B25" s="55" t="s">
        <v>179</v>
      </c>
      <c r="C25" s="60">
        <f>IFERROR(('Historical''FS'!C18-'Historical''FS'!C24)/'Historical''FS'!C21,0)</f>
        <v>1.9104319717895941</v>
      </c>
      <c r="D25" s="60">
        <f>IFERROR(('Historical''FS'!D18-'Historical''FS'!D24)/'Historical''FS'!D21,0)</f>
        <v>1.1208998481851227</v>
      </c>
      <c r="E25" s="60">
        <f>IFERROR(('Historical''FS'!E18-'Historical''FS'!E24)/'Historical''FS'!E21,0)</f>
        <v>2.2912996877766907</v>
      </c>
      <c r="F25" s="60">
        <f>IFERROR(('Historical''FS'!F18-'Historical''FS'!F24)/'Historical''FS'!F21,0)</f>
        <v>2.9206912028725323</v>
      </c>
      <c r="G25" s="60">
        <f>IFERROR(('Historical''FS'!G18-'Historical''FS'!G24)/'Historical''FS'!G21,0)</f>
        <v>3.0023434368351265</v>
      </c>
      <c r="H25" s="60">
        <f>IFERROR(('Historical''FS'!H18-'Historical''FS'!H24)/'Historical''FS'!H21,0)</f>
        <v>2.3362837883842862</v>
      </c>
      <c r="I25" s="60">
        <f>IFERROR(('Historical''FS'!I18-'Historical''FS'!I24)/'Historical''FS'!I21,0)</f>
        <v>5.6176740590423666</v>
      </c>
      <c r="J25" s="60">
        <f>IFERROR(('Historical''FS'!J18-'Historical''FS'!J24)/'Historical''FS'!J21,0)</f>
        <v>11.004017835268744</v>
      </c>
      <c r="K25" s="60">
        <f>IFERROR(('Historical''FS'!K18-'Historical''FS'!K24)/'Historical''FS'!K21,0)</f>
        <v>10.410939643347049</v>
      </c>
      <c r="L25" s="60">
        <f>IFERROR(('Historical''FS'!L18-'Historical''FS'!L24)/'Historical''FS'!L21,0)</f>
        <v>8.0096715404050869</v>
      </c>
      <c r="M25" s="58" t="s">
        <v>163</v>
      </c>
      <c r="N25" s="61">
        <f t="shared" si="7"/>
        <v>4.86242530139066</v>
      </c>
      <c r="O25" s="61">
        <f t="shared" si="8"/>
        <v>2.9615173198538294</v>
      </c>
    </row>
    <row r="26" spans="2:15" x14ac:dyDescent="0.25">
      <c r="M26" s="59"/>
    </row>
    <row r="27" spans="2:15" x14ac:dyDescent="0.25">
      <c r="B27" s="49" t="s">
        <v>180</v>
      </c>
      <c r="C27" s="62">
        <f>IFERROR('Historical''FS'!C6/'Historical''FS'!C59,0)</f>
        <v>34.665917679501582</v>
      </c>
      <c r="D27" s="62">
        <f>IFERROR('Historical''FS'!D6/'Historical''FS'!D59,0)</f>
        <v>29.396117244004568</v>
      </c>
      <c r="E27" s="62">
        <f>IFERROR('Historical''FS'!E6/'Historical''FS'!E59,0)</f>
        <v>26.64585690515807</v>
      </c>
      <c r="F27" s="62">
        <f>IFERROR('Historical''FS'!F6/'Historical''FS'!F59,0)</f>
        <v>39.875497930172614</v>
      </c>
      <c r="G27" s="62">
        <f>IFERROR('Historical''FS'!G6/'Historical''FS'!G59,0)</f>
        <v>41.316527584608252</v>
      </c>
      <c r="H27" s="62">
        <f>IFERROR('Historical''FS'!H6/'Historical''FS'!H59,0)</f>
        <v>26.675516956162117</v>
      </c>
      <c r="I27" s="62">
        <f>IFERROR('Historical''FS'!I6/'Historical''FS'!I59,0)</f>
        <v>39.879005649717513</v>
      </c>
      <c r="J27" s="62">
        <f>IFERROR('Historical''FS'!J6/'Historical''FS'!J59,0)</f>
        <v>44.007282688581547</v>
      </c>
      <c r="K27" s="62">
        <f>IFERROR('Historical''FS'!K6/'Historical''FS'!K59,0)</f>
        <v>44.638359442388492</v>
      </c>
      <c r="L27" s="62">
        <f>IFERROR('Historical''FS'!L6/'Historical''FS'!L59,0)</f>
        <v>23.654178095148019</v>
      </c>
      <c r="M27" s="52" t="s">
        <v>163</v>
      </c>
      <c r="N27" s="63">
        <f t="shared" ref="N27:N31" si="10">IFERROR(AVERAGE(C27:L27),0)</f>
        <v>35.075426017544274</v>
      </c>
      <c r="O27" s="63">
        <f t="shared" ref="O27:O31" si="11">IFERROR(MEDIAN(C27:L27),0)</f>
        <v>37.270707804837102</v>
      </c>
    </row>
    <row r="28" spans="2:15" x14ac:dyDescent="0.25">
      <c r="B28" s="39" t="s">
        <v>181</v>
      </c>
      <c r="C28" s="64">
        <f>IFERROR('Historical''FS'!C6/'Historical''FS'!C50,0)</f>
        <v>2.0207785094247508</v>
      </c>
      <c r="D28" s="64">
        <f>IFERROR('Historical''FS'!D6/'Historical''FS'!D50,0)</f>
        <v>4.2178866762068097</v>
      </c>
      <c r="E28" s="64">
        <f>IFERROR('Historical''FS'!E6/'Historical''FS'!E50,0)</f>
        <v>4.6963447822822824</v>
      </c>
      <c r="F28" s="64">
        <f>IFERROR('Historical''FS'!F6/'Historical''FS'!F50,0)</f>
        <v>4.2842301366184419</v>
      </c>
      <c r="G28" s="64">
        <f>IFERROR('Historical''FS'!G6/'Historical''FS'!G50,0)</f>
        <v>4.3740291291917694</v>
      </c>
      <c r="H28" s="64">
        <f>IFERROR('Historical''FS'!H6/'Historical''FS'!H50,0)</f>
        <v>3.7781096975234885</v>
      </c>
      <c r="I28" s="64">
        <f>IFERROR('Historical''FS'!I6/'Historical''FS'!I50,0)</f>
        <v>4.1760641042024602</v>
      </c>
      <c r="J28" s="64">
        <f>IFERROR('Historical''FS'!J6/'Historical''FS'!J50,0)</f>
        <v>5.0048973233791143</v>
      </c>
      <c r="K28" s="64">
        <f>IFERROR('Historical''FS'!K6/'Historical''FS'!K50,0)</f>
        <v>5.6901293551396233</v>
      </c>
      <c r="L28" s="64">
        <f>IFERROR('Historical''FS'!L6/'Historical''FS'!L50,0)</f>
        <v>5.4247588938807718</v>
      </c>
      <c r="M28" s="54" t="s">
        <v>163</v>
      </c>
      <c r="N28" s="64">
        <f t="shared" si="10"/>
        <v>4.3667228607849511</v>
      </c>
      <c r="O28" s="64">
        <f t="shared" si="11"/>
        <v>4.3291296329051061</v>
      </c>
    </row>
    <row r="29" spans="2:15" x14ac:dyDescent="0.25">
      <c r="B29" s="39" t="s">
        <v>182</v>
      </c>
      <c r="C29" s="64">
        <f>IFERROR('Historical''FS'!C6/'Historical''FS'!C60,0)</f>
        <v>7.9926058493853898</v>
      </c>
      <c r="D29" s="64">
        <f>IFERROR('Historical''FS'!D6/'Historical''FS'!D60,0)</f>
        <v>7.8810850529667498</v>
      </c>
      <c r="E29" s="64">
        <f>IFERROR('Historical''FS'!E6/'Historical''FS'!E60,0)</f>
        <v>9.1219667798309381</v>
      </c>
      <c r="F29" s="64">
        <f>IFERROR('Historical''FS'!F6/'Historical''FS'!F60,0)</f>
        <v>8.8265214384509001</v>
      </c>
      <c r="G29" s="64">
        <f>IFERROR('Historical''FS'!G6/'Historical''FS'!G60,0)</f>
        <v>8.0879173236832251</v>
      </c>
      <c r="H29" s="64">
        <f>IFERROR('Historical''FS'!H6/'Historical''FS'!H60,0)</f>
        <v>6.9445951765719212</v>
      </c>
      <c r="I29" s="64">
        <f>IFERROR('Historical''FS'!I6/'Historical''FS'!I60,0)</f>
        <v>6.0930121746576527</v>
      </c>
      <c r="J29" s="64">
        <f>IFERROR('Historical''FS'!J6/'Historical''FS'!J60,0)</f>
        <v>6.6067536323468188</v>
      </c>
      <c r="K29" s="64">
        <f>IFERROR('Historical''FS'!K6/'Historical''FS'!K60,0)</f>
        <v>7.4598261823829466</v>
      </c>
      <c r="L29" s="64">
        <f>IFERROR('Historical''FS'!L6/'Historical''FS'!L60,0)</f>
        <v>7.1680406129197527</v>
      </c>
      <c r="M29" s="54" t="s">
        <v>163</v>
      </c>
      <c r="N29" s="64">
        <f t="shared" si="10"/>
        <v>7.6182324223196289</v>
      </c>
      <c r="O29" s="64">
        <f t="shared" si="11"/>
        <v>7.6704556176748486</v>
      </c>
    </row>
    <row r="30" spans="2:15" x14ac:dyDescent="0.25">
      <c r="B30" s="39" t="s">
        <v>183</v>
      </c>
      <c r="C30" s="64">
        <f>IFERROR('Historical''FS'!C6/'Historical''FS'!C53,0)</f>
        <v>0.97098327311425592</v>
      </c>
      <c r="D30" s="64">
        <f>IFERROR('Historical''FS'!D6/'Historical''FS'!D53,0)</f>
        <v>1.0392087202260798</v>
      </c>
      <c r="E30" s="64">
        <f>IFERROR('Historical''FS'!E6/'Historical''FS'!E53,0)</f>
        <v>1.0057831640087225</v>
      </c>
      <c r="F30" s="64">
        <f>IFERROR('Historical''FS'!F6/'Historical''FS'!F53,0)</f>
        <v>1.1637325990376046</v>
      </c>
      <c r="G30" s="64">
        <f>IFERROR('Historical''FS'!G6/'Historical''FS'!G53,0)</f>
        <v>1.1004068503975897</v>
      </c>
      <c r="H30" s="64">
        <f>IFERROR('Historical''FS'!H6/'Historical''FS'!H53,0)</f>
        <v>1.0064787739014016</v>
      </c>
      <c r="I30" s="64">
        <f>IFERROR('Historical''FS'!I6/'Historical''FS'!I53,0)</f>
        <v>1.3981203591315179</v>
      </c>
      <c r="J30" s="64">
        <f>IFERROR('Historical''FS'!J6/'Historical''FS'!J53,0)</f>
        <v>1.9002772560593864</v>
      </c>
      <c r="K30" s="64">
        <f>IFERROR('Historical''FS'!K6/'Historical''FS'!K53,0)</f>
        <v>1.9077483271238422</v>
      </c>
      <c r="L30" s="64">
        <f>IFERROR('Historical''FS'!L6/'Historical''FS'!L53,0)</f>
        <v>1.4929143529123832</v>
      </c>
      <c r="M30" s="54" t="s">
        <v>163</v>
      </c>
      <c r="N30" s="64">
        <f t="shared" si="10"/>
        <v>1.2985653675912783</v>
      </c>
      <c r="O30" s="64">
        <f t="shared" si="11"/>
        <v>1.132069724717597</v>
      </c>
    </row>
    <row r="31" spans="2:15" x14ac:dyDescent="0.25">
      <c r="B31" s="55" t="s">
        <v>184</v>
      </c>
      <c r="C31" s="60">
        <f>IFERROR('Historical''FS'!C6/SUM('Historical''FS'!C47:C48),0)</f>
        <v>15.133493846976991</v>
      </c>
      <c r="D31" s="60">
        <f>IFERROR('Historical''FS'!D6/SUM('Historical''FS'!D47:D48),0)</f>
        <v>2.279878837262856</v>
      </c>
      <c r="E31" s="60">
        <f>IFERROR('Historical''FS'!E6/SUM('Historical''FS'!E47:E48),0)</f>
        <v>2.2626156445861096</v>
      </c>
      <c r="F31" s="60">
        <f>IFERROR('Historical''FS'!F6/SUM('Historical''FS'!F47:F48),0)</f>
        <v>2.5545459094320742</v>
      </c>
      <c r="G31" s="60">
        <f>IFERROR('Historical''FS'!G6/SUM('Historical''FS'!G47:G48),0)</f>
        <v>2.1420313542161145</v>
      </c>
      <c r="H31" s="60">
        <f>IFERROR('Historical''FS'!H6/SUM('Historical''FS'!H47:H48),0)</f>
        <v>1.8303461975028377</v>
      </c>
      <c r="I31" s="60">
        <f>IFERROR('Historical''FS'!I6/SUM('Historical''FS'!I47:I48),0)</f>
        <v>2.1626040770507191</v>
      </c>
      <c r="J31" s="60">
        <f>IFERROR('Historical''FS'!J6/SUM('Historical''FS'!J47:J48),0)</f>
        <v>2.581763804342287</v>
      </c>
      <c r="K31" s="60">
        <f>IFERROR('Historical''FS'!K6/SUM('Historical''FS'!K47:K48),0)</f>
        <v>2.3127773372738414</v>
      </c>
      <c r="L31" s="60">
        <f>IFERROR('Historical''FS'!L6/SUM('Historical''FS'!L47:L48),0)</f>
        <v>1.2045668137482441</v>
      </c>
      <c r="M31" s="58" t="s">
        <v>163</v>
      </c>
      <c r="N31" s="61">
        <f t="shared" si="10"/>
        <v>3.4464623822392078</v>
      </c>
      <c r="O31" s="61">
        <f t="shared" si="11"/>
        <v>2.2712472409244828</v>
      </c>
    </row>
    <row r="32" spans="2:15" x14ac:dyDescent="0.25"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59"/>
    </row>
    <row r="33" spans="2:15" x14ac:dyDescent="0.25">
      <c r="B33" s="49" t="s">
        <v>185</v>
      </c>
      <c r="C33" s="67">
        <f>IFERROR(365/C27,0)</f>
        <v>10.529073638683142</v>
      </c>
      <c r="D33" s="67">
        <f t="shared" ref="D33:L33" si="12">IFERROR(365/D27,0)</f>
        <v>12.416605804443201</v>
      </c>
      <c r="E33" s="67">
        <f t="shared" si="12"/>
        <v>13.698189602202051</v>
      </c>
      <c r="F33" s="67">
        <f t="shared" si="12"/>
        <v>9.1534907134994103</v>
      </c>
      <c r="G33" s="67">
        <f t="shared" si="12"/>
        <v>8.8342370798840886</v>
      </c>
      <c r="H33" s="67">
        <f t="shared" si="12"/>
        <v>13.682958819498491</v>
      </c>
      <c r="I33" s="67">
        <f t="shared" si="12"/>
        <v>9.1526855811307204</v>
      </c>
      <c r="J33" s="67">
        <f t="shared" si="12"/>
        <v>8.2940817451268263</v>
      </c>
      <c r="K33" s="67">
        <f t="shared" si="12"/>
        <v>8.1768238026551838</v>
      </c>
      <c r="L33" s="67">
        <f t="shared" si="12"/>
        <v>15.430677765754599</v>
      </c>
      <c r="M33" s="52" t="s">
        <v>163</v>
      </c>
      <c r="N33" s="68">
        <f>IFERROR(AVERAGE(C33:L33),0)</f>
        <v>10.936882455287771</v>
      </c>
      <c r="O33" s="68">
        <f>IFERROR(MEDIAN(C33:L33),0)</f>
        <v>9.8412821760912763</v>
      </c>
    </row>
    <row r="34" spans="2:15" x14ac:dyDescent="0.25">
      <c r="B34" s="39" t="s">
        <v>186</v>
      </c>
      <c r="C34" s="69">
        <f>IFERROR(365/C28,0)</f>
        <v>180.62345689924399</v>
      </c>
      <c r="D34" s="69">
        <f t="shared" ref="D34:L34" si="13">IFERROR(365/D28,0)</f>
        <v>86.536227267312071</v>
      </c>
      <c r="E34" s="69">
        <f t="shared" si="13"/>
        <v>77.720017784260932</v>
      </c>
      <c r="F34" s="69">
        <f t="shared" si="13"/>
        <v>85.196170224435193</v>
      </c>
      <c r="G34" s="69">
        <f t="shared" si="13"/>
        <v>83.447089449869409</v>
      </c>
      <c r="H34" s="69">
        <f t="shared" si="13"/>
        <v>96.609158870970234</v>
      </c>
      <c r="I34" s="69">
        <f t="shared" si="13"/>
        <v>87.402872870819422</v>
      </c>
      <c r="J34" s="69">
        <f t="shared" si="13"/>
        <v>72.928569042764309</v>
      </c>
      <c r="K34" s="69">
        <f t="shared" si="13"/>
        <v>64.146169132396409</v>
      </c>
      <c r="L34" s="69">
        <f t="shared" si="13"/>
        <v>67.284096333152561</v>
      </c>
      <c r="M34" s="54" t="s">
        <v>163</v>
      </c>
      <c r="N34" s="69">
        <f t="shared" ref="N34:N36" si="14">IFERROR(AVERAGE(C34:L34),0)</f>
        <v>90.189382787522462</v>
      </c>
      <c r="O34" s="69">
        <f t="shared" ref="O34:O36" si="15">IFERROR(MEDIAN(C34:L34),0)</f>
        <v>84.321629837152301</v>
      </c>
    </row>
    <row r="35" spans="2:15" x14ac:dyDescent="0.25">
      <c r="B35" s="39" t="s">
        <v>187</v>
      </c>
      <c r="C35" s="69">
        <f>IFERROR(365/C29,0)</f>
        <v>45.667208777481193</v>
      </c>
      <c r="D35" s="69">
        <f t="shared" ref="D35:L35" si="16">IFERROR(365/D29,0)</f>
        <v>46.313419731791839</v>
      </c>
      <c r="E35" s="69">
        <f t="shared" si="16"/>
        <v>40.013300728854958</v>
      </c>
      <c r="F35" s="69">
        <f t="shared" si="16"/>
        <v>41.352644135656163</v>
      </c>
      <c r="G35" s="69">
        <f t="shared" si="16"/>
        <v>45.129046872326285</v>
      </c>
      <c r="H35" s="69">
        <f t="shared" si="16"/>
        <v>52.558859187552514</v>
      </c>
      <c r="I35" s="69">
        <f t="shared" si="16"/>
        <v>59.904689099116759</v>
      </c>
      <c r="J35" s="69">
        <f t="shared" si="16"/>
        <v>55.246497797791577</v>
      </c>
      <c r="K35" s="69">
        <f t="shared" si="16"/>
        <v>48.928753978474788</v>
      </c>
      <c r="L35" s="69">
        <f t="shared" si="16"/>
        <v>50.920470420064319</v>
      </c>
      <c r="M35" s="54" t="s">
        <v>163</v>
      </c>
      <c r="N35" s="69">
        <f t="shared" si="14"/>
        <v>48.603489072911032</v>
      </c>
      <c r="O35" s="69">
        <f t="shared" si="15"/>
        <v>47.621086855133314</v>
      </c>
    </row>
    <row r="36" spans="2:15" x14ac:dyDescent="0.25">
      <c r="B36" s="55" t="s">
        <v>188</v>
      </c>
      <c r="C36" s="70">
        <f>SUM(C33,C35)-C34</f>
        <v>-124.42717448307965</v>
      </c>
      <c r="D36" s="70">
        <f t="shared" ref="D36:L36" si="17">SUM(D33,D35)-D34</f>
        <v>-27.806201731077032</v>
      </c>
      <c r="E36" s="70">
        <f t="shared" si="17"/>
        <v>-24.008527453203925</v>
      </c>
      <c r="F36" s="70">
        <f t="shared" si="17"/>
        <v>-34.690035375279621</v>
      </c>
      <c r="G36" s="70">
        <f t="shared" si="17"/>
        <v>-29.483805497659034</v>
      </c>
      <c r="H36" s="70">
        <f t="shared" si="17"/>
        <v>-30.367340863919225</v>
      </c>
      <c r="I36" s="70">
        <f t="shared" si="17"/>
        <v>-18.345498190571945</v>
      </c>
      <c r="J36" s="70">
        <f t="shared" si="17"/>
        <v>-9.3879894998459079</v>
      </c>
      <c r="K36" s="70">
        <f t="shared" si="17"/>
        <v>-7.0405913512664355</v>
      </c>
      <c r="L36" s="70">
        <f t="shared" si="17"/>
        <v>-0.93294814733364717</v>
      </c>
      <c r="M36" s="58" t="s">
        <v>163</v>
      </c>
      <c r="N36" s="71">
        <f t="shared" si="14"/>
        <v>-30.64901125932364</v>
      </c>
      <c r="O36" s="71">
        <f t="shared" si="15"/>
        <v>-25.907364592140478</v>
      </c>
    </row>
    <row r="37" spans="2:15" x14ac:dyDescent="0.25"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59"/>
    </row>
    <row r="38" spans="2:15" x14ac:dyDescent="0.25">
      <c r="B38" s="66"/>
      <c r="M38" s="59"/>
    </row>
    <row r="39" spans="2:15" x14ac:dyDescent="0.25">
      <c r="B39" s="49" t="s">
        <v>189</v>
      </c>
      <c r="C39" s="50">
        <f>IFERROR('Historical''FS'!C109/'Historical''FS'!C6,0)</f>
        <v>0.32880199402499605</v>
      </c>
      <c r="D39" s="50">
        <f>IFERROR('Historical''FS'!D109/'Historical''FS'!D6,0)</f>
        <v>0.45918605193231088</v>
      </c>
      <c r="E39" s="50">
        <f>IFERROR('Historical''FS'!E109/'Historical''FS'!E6,0)</f>
        <v>0.27475684019642616</v>
      </c>
      <c r="F39" s="50">
        <f>IFERROR('Historical''FS'!F109/'Historical''FS'!F6,0)</f>
        <v>0.39625797706678995</v>
      </c>
      <c r="G39" s="50">
        <f>IFERROR('Historical''FS'!G109/'Historical''FS'!G6,0)</f>
        <v>0.37183115975976144</v>
      </c>
      <c r="H39" s="50">
        <f>IFERROR('Historical''FS'!H109/'Historical''FS'!H6,0)</f>
        <v>0.30852043521535966</v>
      </c>
      <c r="I39" s="50">
        <f>IFERROR('Historical''FS'!I109/'Historical''FS'!I6,0)</f>
        <v>0.26271558148206497</v>
      </c>
      <c r="J39" s="50">
        <f>IFERROR('Historical''FS'!J109/'Historical''FS'!J6,0)</f>
        <v>0.25574768050745683</v>
      </c>
      <c r="K39" s="50">
        <f>IFERROR('Historical''FS'!K109/'Historical''FS'!K6,0)</f>
        <v>0.29777005942934365</v>
      </c>
      <c r="L39" s="50">
        <f>IFERROR('Historical''FS'!L109/'Historical''FS'!L6,0)</f>
        <v>0.34091959825366797</v>
      </c>
      <c r="M39" s="52" t="s">
        <v>163</v>
      </c>
      <c r="N39" s="51">
        <f t="shared" ref="N39:N41" si="18">IFERROR(AVERAGE(C39:L39),0)</f>
        <v>0.32965073778681775</v>
      </c>
      <c r="O39" s="51">
        <f t="shared" ref="O39:O41" si="19">IFERROR(MEDIAN(C39:L39),0)</f>
        <v>0.31866121462017782</v>
      </c>
    </row>
    <row r="40" spans="2:15" x14ac:dyDescent="0.25">
      <c r="B40" s="39" t="s">
        <v>190</v>
      </c>
      <c r="C40" s="53">
        <f>IFERROR('Historical''FS'!C109/'Historical''FS'!C64,0)</f>
        <v>0.25184767277856135</v>
      </c>
      <c r="D40" s="53">
        <f>IFERROR('Historical''FS'!D109/'Historical''FS'!D64,0)</f>
        <v>0.36750531670128223</v>
      </c>
      <c r="E40" s="53">
        <f>IFERROR('Historical''FS'!E109/'Historical''FS'!E64,0)</f>
        <v>0.20850669401263552</v>
      </c>
      <c r="F40" s="53">
        <f>IFERROR('Historical''FS'!F109/'Historical''FS'!F64,0)</f>
        <v>0.33727853071268643</v>
      </c>
      <c r="G40" s="53">
        <f>IFERROR('Historical''FS'!G109/'Historical''FS'!G64,0)</f>
        <v>0.31651539356080416</v>
      </c>
      <c r="H40" s="53">
        <f>IFERROR('Historical''FS'!H109/'Historical''FS'!H64,0)</f>
        <v>0.23557627995458943</v>
      </c>
      <c r="I40" s="53">
        <f>IFERROR('Historical''FS'!I109/'Historical''FS'!I64,0)</f>
        <v>0.24197555608446389</v>
      </c>
      <c r="J40" s="53">
        <f>IFERROR('Historical''FS'!J109/'Historical''FS'!J64,0)</f>
        <v>0.28997507367725228</v>
      </c>
      <c r="K40" s="53">
        <f>IFERROR('Historical''FS'!K109/'Historical''FS'!K64,0)</f>
        <v>0.31454160680257953</v>
      </c>
      <c r="L40" s="53">
        <f>IFERROR('Historical''FS'!L109/'Historical''FS'!L64,0)</f>
        <v>0.29497121857579195</v>
      </c>
      <c r="M40" s="54" t="s">
        <v>163</v>
      </c>
      <c r="N40" s="53">
        <f t="shared" si="18"/>
        <v>0.28586933428606465</v>
      </c>
      <c r="O40" s="53">
        <f t="shared" si="19"/>
        <v>0.29247314612652209</v>
      </c>
    </row>
    <row r="41" spans="2:15" x14ac:dyDescent="0.25">
      <c r="B41" s="55" t="s">
        <v>191</v>
      </c>
      <c r="C41" s="56">
        <f>IFERROR('Historical''FS'!C109/'Historical''FS'!C49,0)</f>
        <v>0.44156923259540626</v>
      </c>
      <c r="D41" s="56">
        <f>IFERROR('Historical''FS'!D109/'Historical''FS'!D49,0)</f>
        <v>0.80030694231290056</v>
      </c>
      <c r="E41" s="56">
        <f>IFERROR('Historical''FS'!E109/'Historical''FS'!E49,0)</f>
        <v>0.41451558201756039</v>
      </c>
      <c r="F41" s="56">
        <f>IFERROR('Historical''FS'!F109/'Historical''FS'!F49,0)</f>
        <v>0.72047495076339008</v>
      </c>
      <c r="G41" s="56">
        <f>IFERROR('Historical''FS'!G109/'Historical''FS'!G49,0)</f>
        <v>0.77578588192603259</v>
      </c>
      <c r="H41" s="56">
        <f>IFERROR('Historical''FS'!H109/'Historical''FS'!H49,0)</f>
        <v>0.61875608262103832</v>
      </c>
      <c r="I41" s="56">
        <f>IFERROR('Historical''FS'!I109/'Historical''FS'!I49,0)</f>
        <v>0.68442995665473783</v>
      </c>
      <c r="J41" s="56">
        <f>IFERROR('Historical''FS'!J109/'Historical''FS'!J49,0)</f>
        <v>0.86744717172055275</v>
      </c>
      <c r="K41" s="56">
        <f>IFERROR('Historical''FS'!K109/'Historical''FS'!K49,0)</f>
        <v>0.87952998447888253</v>
      </c>
      <c r="L41" s="56">
        <f>IFERROR('Historical''FS'!L109/'Historical''FS'!L49,0)</f>
        <v>2.4134453781512604</v>
      </c>
      <c r="M41" s="58" t="s">
        <v>163</v>
      </c>
      <c r="N41" s="57">
        <f t="shared" si="18"/>
        <v>0.86162611632417607</v>
      </c>
      <c r="O41" s="57">
        <f t="shared" si="19"/>
        <v>0.74813041634471134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showGridLines="0" workbookViewId="0">
      <pane xSplit="1" ySplit="3" topLeftCell="B23" activePane="bottomRight" state="frozen"/>
      <selection pane="topRight" activeCell="B1" sqref="B1"/>
      <selection pane="bottomLeft" activeCell="A4" sqref="A4"/>
      <selection pane="bottomRight" activeCell="A38" sqref="A38"/>
    </sheetView>
  </sheetViews>
  <sheetFormatPr defaultRowHeight="15" x14ac:dyDescent="0.25"/>
  <cols>
    <col min="1" max="1" width="1.85546875" customWidth="1"/>
    <col min="2" max="2" width="23.5703125" bestFit="1" customWidth="1"/>
    <col min="8" max="9" width="9.28515625" bestFit="1" customWidth="1"/>
    <col min="10" max="10" width="9.5703125" bestFit="1" customWidth="1"/>
    <col min="11" max="11" width="14.28515625" bestFit="1" customWidth="1"/>
    <col min="12" max="12" width="9.28515625" bestFit="1" customWidth="1"/>
    <col min="14" max="14" width="13.5703125" bestFit="1" customWidth="1"/>
  </cols>
  <sheetData>
    <row r="2" spans="1:15" x14ac:dyDescent="0.25">
      <c r="B2" s="267" t="str">
        <f>"Intrinsic Growth - "&amp;'Data Sheet'!$B$1</f>
        <v>Intrinsic Growth - VARUN BEVERAGES LTD</v>
      </c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110"/>
      <c r="N2" s="110"/>
      <c r="O2" s="110"/>
    </row>
    <row r="3" spans="1:15" x14ac:dyDescent="0.25">
      <c r="B3" s="89" t="s">
        <v>194</v>
      </c>
      <c r="C3" s="89"/>
      <c r="D3" s="89"/>
      <c r="E3" s="89"/>
      <c r="F3" s="89"/>
      <c r="G3" s="89"/>
      <c r="H3" s="90">
        <f>'Raw Data'!J2</f>
        <v>44166</v>
      </c>
      <c r="I3" s="90">
        <f>'Raw Data'!K2</f>
        <v>44531</v>
      </c>
      <c r="J3" s="90">
        <f>'Raw Data'!L2</f>
        <v>44896</v>
      </c>
      <c r="K3" s="90">
        <f>'Raw Data'!M2</f>
        <v>45261</v>
      </c>
      <c r="L3" s="90">
        <f>'Raw Data'!N2</f>
        <v>45627</v>
      </c>
    </row>
    <row r="5" spans="1:15" x14ac:dyDescent="0.25">
      <c r="A5" t="s">
        <v>56</v>
      </c>
      <c r="B5" s="30" t="s">
        <v>195</v>
      </c>
    </row>
    <row r="6" spans="1:15" x14ac:dyDescent="0.25">
      <c r="B6" s="91" t="str">
        <f>'Raw Data'!B36</f>
        <v>Inventories</v>
      </c>
      <c r="C6" s="91"/>
      <c r="D6" s="91"/>
      <c r="E6" s="91"/>
      <c r="F6" s="91"/>
      <c r="G6" s="91"/>
      <c r="H6" s="92">
        <f>'Raw Data'!J36</f>
        <v>929</v>
      </c>
      <c r="I6" s="92">
        <f>'Raw Data'!K36</f>
        <v>1448</v>
      </c>
      <c r="J6" s="92">
        <f>'Raw Data'!L36</f>
        <v>1994</v>
      </c>
      <c r="K6" s="92">
        <f>'Raw Data'!M36</f>
        <v>2151</v>
      </c>
      <c r="L6" s="92">
        <f>'Raw Data'!N36</f>
        <v>2791</v>
      </c>
    </row>
    <row r="7" spans="1:15" x14ac:dyDescent="0.25">
      <c r="B7" s="91" t="str">
        <f>'Raw Data'!B37</f>
        <v>Trade receivables -</v>
      </c>
      <c r="C7" s="91"/>
      <c r="D7" s="91"/>
      <c r="E7" s="91"/>
      <c r="F7" s="91"/>
      <c r="G7" s="91"/>
      <c r="H7" s="92">
        <f>SUM('Raw Data'!J38:J40)</f>
        <v>241</v>
      </c>
      <c r="I7" s="92">
        <f>SUM('Raw Data'!K38:K40)</f>
        <v>221</v>
      </c>
      <c r="J7" s="92">
        <f>SUM('Raw Data'!L38:L40)</f>
        <v>299</v>
      </c>
      <c r="K7" s="92">
        <f>SUM('Raw Data'!M38:M40)</f>
        <v>359</v>
      </c>
      <c r="L7" s="92">
        <f>SUM('Raw Data'!N38:N40)</f>
        <v>845</v>
      </c>
    </row>
    <row r="8" spans="1:15" x14ac:dyDescent="0.25">
      <c r="B8" s="91" t="str">
        <f>'Raw Data'!B42</f>
        <v>Loans n Advances</v>
      </c>
      <c r="C8" s="91"/>
      <c r="D8" s="91"/>
      <c r="E8" s="91"/>
      <c r="F8" s="91"/>
      <c r="G8" s="91"/>
      <c r="H8" s="92">
        <f>'Raw Data'!J42</f>
        <v>192</v>
      </c>
      <c r="I8" s="92">
        <f>'Raw Data'!K42</f>
        <v>187</v>
      </c>
      <c r="J8" s="92">
        <f>'Raw Data'!L42</f>
        <v>288</v>
      </c>
      <c r="K8" s="92">
        <f>'Raw Data'!M42</f>
        <v>253</v>
      </c>
      <c r="L8" s="92">
        <f>'Raw Data'!N42</f>
        <v>664</v>
      </c>
    </row>
    <row r="9" spans="1:15" x14ac:dyDescent="0.25">
      <c r="B9" s="39" t="str">
        <f>'Raw Data'!B43</f>
        <v>Other asset items</v>
      </c>
      <c r="C9" s="39"/>
      <c r="D9" s="39"/>
      <c r="E9" s="39"/>
      <c r="F9" s="39"/>
      <c r="G9" s="39"/>
      <c r="H9" s="100">
        <f>'Raw Data'!J43</f>
        <v>420</v>
      </c>
      <c r="I9" s="100">
        <f>'Raw Data'!K43</f>
        <v>579</v>
      </c>
      <c r="J9" s="100">
        <f>'Raw Data'!L43</f>
        <v>1213</v>
      </c>
      <c r="K9" s="100">
        <f>'Raw Data'!M43</f>
        <v>1612</v>
      </c>
      <c r="L9" s="100">
        <f>'Raw Data'!N43</f>
        <v>1745</v>
      </c>
    </row>
    <row r="10" spans="1:15" x14ac:dyDescent="0.25">
      <c r="B10" s="93" t="s">
        <v>196</v>
      </c>
      <c r="C10" s="93"/>
      <c r="D10" s="93"/>
      <c r="E10" s="93"/>
      <c r="F10" s="93"/>
      <c r="G10" s="93"/>
      <c r="H10" s="94">
        <f>SUM(H6:H9)</f>
        <v>1782</v>
      </c>
      <c r="I10" s="94">
        <f t="shared" ref="I10:L10" si="0">SUM(I6:I9)</f>
        <v>2435</v>
      </c>
      <c r="J10" s="94">
        <f t="shared" si="0"/>
        <v>3794</v>
      </c>
      <c r="K10" s="94">
        <f t="shared" si="0"/>
        <v>4375</v>
      </c>
      <c r="L10" s="94">
        <f t="shared" si="0"/>
        <v>6045</v>
      </c>
    </row>
    <row r="11" spans="1:15" x14ac:dyDescent="0.25">
      <c r="H11" s="95"/>
      <c r="I11" s="95"/>
      <c r="J11" s="95"/>
      <c r="K11" s="95"/>
      <c r="L11" s="95"/>
    </row>
    <row r="12" spans="1:15" x14ac:dyDescent="0.25">
      <c r="B12" s="30" t="s">
        <v>197</v>
      </c>
      <c r="H12" s="95"/>
      <c r="I12" s="95"/>
      <c r="J12" s="95"/>
      <c r="K12" s="95"/>
      <c r="L12" s="95"/>
    </row>
    <row r="13" spans="1:15" x14ac:dyDescent="0.25">
      <c r="B13" s="91" t="str">
        <f>'Raw Data'!B14</f>
        <v>Trade Payables</v>
      </c>
      <c r="C13" s="91"/>
      <c r="D13" s="91"/>
      <c r="E13" s="91"/>
      <c r="F13" s="91"/>
      <c r="G13" s="91"/>
      <c r="H13" s="92">
        <f>'Raw Data'!J14</f>
        <v>511</v>
      </c>
      <c r="I13" s="92">
        <f>'Raw Data'!K14</f>
        <v>712</v>
      </c>
      <c r="J13" s="92">
        <f>'Raw Data'!L14</f>
        <v>824</v>
      </c>
      <c r="K13" s="92">
        <f>'Raw Data'!M14</f>
        <v>758</v>
      </c>
      <c r="L13" s="92">
        <f>'Raw Data'!N14</f>
        <v>1560</v>
      </c>
    </row>
    <row r="14" spans="1:15" x14ac:dyDescent="0.25">
      <c r="B14" s="91" t="str">
        <f>'Raw Data'!B15</f>
        <v>Advance from Customers</v>
      </c>
      <c r="C14" s="91"/>
      <c r="D14" s="91"/>
      <c r="E14" s="91"/>
      <c r="F14" s="91"/>
      <c r="G14" s="91"/>
      <c r="H14" s="92">
        <f>'Raw Data'!J15</f>
        <v>173</v>
      </c>
      <c r="I14" s="92">
        <f>'Raw Data'!K15</f>
        <v>79</v>
      </c>
      <c r="J14" s="92">
        <f>'Raw Data'!L15</f>
        <v>203</v>
      </c>
      <c r="K14" s="92">
        <f>'Raw Data'!M15</f>
        <v>180</v>
      </c>
      <c r="L14" s="92">
        <f>'Raw Data'!N15</f>
        <v>219</v>
      </c>
    </row>
    <row r="15" spans="1:15" x14ac:dyDescent="0.25">
      <c r="B15" s="91" t="str">
        <f>'Raw Data'!B16</f>
        <v>Other liability items</v>
      </c>
      <c r="C15" s="91"/>
      <c r="D15" s="91"/>
      <c r="E15" s="91"/>
      <c r="F15" s="91"/>
      <c r="G15" s="91"/>
      <c r="H15" s="92">
        <f>'Raw Data'!J16</f>
        <v>958</v>
      </c>
      <c r="I15" s="92">
        <f>'Raw Data'!K16</f>
        <v>1205</v>
      </c>
      <c r="J15" s="92">
        <f>'Raw Data'!L16</f>
        <v>1491</v>
      </c>
      <c r="K15" s="92">
        <f>'Raw Data'!M16</f>
        <v>1732</v>
      </c>
      <c r="L15" s="92">
        <f>'Raw Data'!N16</f>
        <v>1778</v>
      </c>
    </row>
    <row r="16" spans="1:15" x14ac:dyDescent="0.25">
      <c r="B16" s="93" t="s">
        <v>198</v>
      </c>
      <c r="C16" s="93"/>
      <c r="D16" s="93"/>
      <c r="E16" s="93"/>
      <c r="F16" s="93"/>
      <c r="G16" s="93"/>
      <c r="H16" s="94">
        <f>SUM(H13:H15)</f>
        <v>1642</v>
      </c>
      <c r="I16" s="94">
        <f t="shared" ref="I16:L16" si="1">SUM(I13:I15)</f>
        <v>1996</v>
      </c>
      <c r="J16" s="94">
        <f t="shared" si="1"/>
        <v>2518</v>
      </c>
      <c r="K16" s="94">
        <f t="shared" si="1"/>
        <v>2670</v>
      </c>
      <c r="L16" s="94">
        <f t="shared" si="1"/>
        <v>3557</v>
      </c>
    </row>
    <row r="17" spans="1:12" x14ac:dyDescent="0.25">
      <c r="H17" s="95"/>
      <c r="I17" s="95"/>
      <c r="J17" s="95"/>
      <c r="K17" s="95"/>
      <c r="L17" s="95"/>
    </row>
    <row r="18" spans="1:12" ht="15.75" thickBot="1" x14ac:dyDescent="0.3">
      <c r="A18" t="s">
        <v>56</v>
      </c>
      <c r="B18" s="96" t="s">
        <v>199</v>
      </c>
      <c r="C18" s="96"/>
      <c r="D18" s="96"/>
      <c r="E18" s="96"/>
      <c r="F18" s="96"/>
      <c r="G18" s="96"/>
      <c r="H18" s="97">
        <f>H10-H16</f>
        <v>140</v>
      </c>
      <c r="I18" s="97">
        <f t="shared" ref="I18:L18" si="2">I10-I16</f>
        <v>439</v>
      </c>
      <c r="J18" s="97">
        <f t="shared" si="2"/>
        <v>1276</v>
      </c>
      <c r="K18" s="97">
        <f t="shared" si="2"/>
        <v>1705</v>
      </c>
      <c r="L18" s="97">
        <f t="shared" si="2"/>
        <v>2488</v>
      </c>
    </row>
    <row r="19" spans="1:12" ht="15.75" thickTop="1" x14ac:dyDescent="0.25">
      <c r="H19" s="95"/>
      <c r="I19" s="95"/>
      <c r="J19" s="95"/>
      <c r="K19" s="95"/>
      <c r="L19" s="95"/>
    </row>
    <row r="20" spans="1:12" x14ac:dyDescent="0.25">
      <c r="B20" s="30" t="s">
        <v>200</v>
      </c>
      <c r="H20" s="95"/>
      <c r="I20" s="95"/>
      <c r="J20" s="95"/>
      <c r="K20" s="95"/>
      <c r="L20" s="95"/>
    </row>
    <row r="21" spans="1:12" x14ac:dyDescent="0.25">
      <c r="B21" s="91" t="str">
        <f>'Raw Data'!B20</f>
        <v>Land</v>
      </c>
      <c r="C21" s="91"/>
      <c r="D21" s="91"/>
      <c r="E21" s="91"/>
      <c r="F21" s="91"/>
      <c r="G21" s="91"/>
      <c r="H21" s="92">
        <f>'Raw Data'!J20</f>
        <v>1250</v>
      </c>
      <c r="I21" s="92">
        <f>'Raw Data'!K20</f>
        <v>1296</v>
      </c>
      <c r="J21" s="92">
        <f>'Raw Data'!L20</f>
        <v>1679</v>
      </c>
      <c r="K21" s="92">
        <f>'Raw Data'!M20</f>
        <v>1832</v>
      </c>
      <c r="L21" s="92">
        <f>'Raw Data'!N20</f>
        <v>1902</v>
      </c>
    </row>
    <row r="22" spans="1:12" x14ac:dyDescent="0.25">
      <c r="B22" s="91" t="str">
        <f>'Raw Data'!B21</f>
        <v>Building</v>
      </c>
      <c r="C22" s="91"/>
      <c r="D22" s="91"/>
      <c r="E22" s="91"/>
      <c r="F22" s="91"/>
      <c r="G22" s="91"/>
      <c r="H22" s="92">
        <f>'Raw Data'!J21</f>
        <v>1392</v>
      </c>
      <c r="I22" s="92">
        <f>'Raw Data'!K21</f>
        <v>1474</v>
      </c>
      <c r="J22" s="92">
        <f>'Raw Data'!L21</f>
        <v>1587</v>
      </c>
      <c r="K22" s="92">
        <f>'Raw Data'!M21</f>
        <v>1958</v>
      </c>
      <c r="L22" s="92">
        <f>'Raw Data'!N21</f>
        <v>3408</v>
      </c>
    </row>
    <row r="23" spans="1:12" x14ac:dyDescent="0.25">
      <c r="B23" s="91" t="str">
        <f>'Raw Data'!B22</f>
        <v>Plant Machinery</v>
      </c>
      <c r="C23" s="91"/>
      <c r="D23" s="91"/>
      <c r="E23" s="91"/>
      <c r="F23" s="91"/>
      <c r="G23" s="91"/>
      <c r="H23" s="92">
        <f>'Raw Data'!J22</f>
        <v>3831</v>
      </c>
      <c r="I23" s="92">
        <f>'Raw Data'!K22</f>
        <v>3967</v>
      </c>
      <c r="J23" s="92">
        <f>'Raw Data'!L22</f>
        <v>4401</v>
      </c>
      <c r="K23" s="92">
        <f>'Raw Data'!M22</f>
        <v>5499</v>
      </c>
      <c r="L23" s="92">
        <f>'Raw Data'!N22</f>
        <v>8598</v>
      </c>
    </row>
    <row r="24" spans="1:12" x14ac:dyDescent="0.25">
      <c r="B24" s="91" t="str">
        <f>'Raw Data'!B23</f>
        <v>Equipments</v>
      </c>
      <c r="C24" s="91"/>
      <c r="D24" s="91"/>
      <c r="E24" s="91"/>
      <c r="F24" s="91"/>
      <c r="G24" s="91"/>
      <c r="H24" s="92">
        <f>'Raw Data'!J23</f>
        <v>1212</v>
      </c>
      <c r="I24" s="92">
        <f>'Raw Data'!K23</f>
        <v>1242</v>
      </c>
      <c r="J24" s="92">
        <f>'Raw Data'!L23</f>
        <v>1238</v>
      </c>
      <c r="K24" s="92">
        <f>'Raw Data'!M23</f>
        <v>1293</v>
      </c>
      <c r="L24" s="92">
        <f>'Raw Data'!N23</f>
        <v>1529</v>
      </c>
    </row>
    <row r="25" spans="1:12" x14ac:dyDescent="0.25">
      <c r="B25" s="91" t="str">
        <f>'Raw Data'!B24</f>
        <v>Computers</v>
      </c>
      <c r="C25" s="91"/>
      <c r="D25" s="91"/>
      <c r="E25" s="91"/>
      <c r="F25" s="91"/>
      <c r="G25" s="91"/>
      <c r="H25" s="92">
        <f>'Raw Data'!J24</f>
        <v>25</v>
      </c>
      <c r="I25" s="92">
        <f>'Raw Data'!K24</f>
        <v>28</v>
      </c>
      <c r="J25" s="92">
        <f>'Raw Data'!L24</f>
        <v>33</v>
      </c>
      <c r="K25" s="92">
        <f>'Raw Data'!M24</f>
        <v>41</v>
      </c>
      <c r="L25" s="92">
        <f>'Raw Data'!N24</f>
        <v>65</v>
      </c>
    </row>
    <row r="26" spans="1:12" x14ac:dyDescent="0.25">
      <c r="B26" s="91" t="str">
        <f>'Raw Data'!B25</f>
        <v>Furniture n fittings</v>
      </c>
      <c r="C26" s="91"/>
      <c r="D26" s="91"/>
      <c r="E26" s="91"/>
      <c r="F26" s="91"/>
      <c r="G26" s="91"/>
      <c r="H26" s="92">
        <f>'Raw Data'!J25</f>
        <v>26</v>
      </c>
      <c r="I26" s="92">
        <f>'Raw Data'!K25</f>
        <v>29</v>
      </c>
      <c r="J26" s="92">
        <f>'Raw Data'!L25</f>
        <v>29</v>
      </c>
      <c r="K26" s="92">
        <f>'Raw Data'!M25</f>
        <v>41</v>
      </c>
      <c r="L26" s="92">
        <f>'Raw Data'!N25</f>
        <v>69</v>
      </c>
    </row>
    <row r="27" spans="1:12" x14ac:dyDescent="0.25">
      <c r="B27" s="91" t="str">
        <f>'Raw Data'!B26</f>
        <v>Vehicles</v>
      </c>
      <c r="C27" s="91"/>
      <c r="D27" s="91"/>
      <c r="E27" s="91"/>
      <c r="F27" s="91"/>
      <c r="G27" s="91"/>
      <c r="H27" s="92">
        <f>'Raw Data'!J26</f>
        <v>622</v>
      </c>
      <c r="I27" s="92">
        <f>'Raw Data'!K26</f>
        <v>690</v>
      </c>
      <c r="J27" s="92">
        <f>'Raw Data'!L26</f>
        <v>795</v>
      </c>
      <c r="K27" s="92">
        <f>'Raw Data'!M26</f>
        <v>1086</v>
      </c>
      <c r="L27" s="92">
        <f>'Raw Data'!N26</f>
        <v>1500</v>
      </c>
    </row>
    <row r="28" spans="1:12" x14ac:dyDescent="0.25">
      <c r="B28" s="91" t="str">
        <f>'Raw Data'!B27</f>
        <v>Intangible Assets</v>
      </c>
      <c r="C28" s="91"/>
      <c r="D28" s="91"/>
      <c r="E28" s="91"/>
      <c r="F28" s="91"/>
      <c r="G28" s="91"/>
      <c r="H28" s="92">
        <f>'Raw Data'!J27</f>
        <v>644</v>
      </c>
      <c r="I28" s="92">
        <f>'Raw Data'!K27</f>
        <v>644</v>
      </c>
      <c r="J28" s="92">
        <f>'Raw Data'!L27</f>
        <v>644</v>
      </c>
      <c r="K28" s="92">
        <f>'Raw Data'!M27</f>
        <v>644</v>
      </c>
      <c r="L28" s="92">
        <f>'Raw Data'!N27</f>
        <v>1532</v>
      </c>
    </row>
    <row r="29" spans="1:12" x14ac:dyDescent="0.25">
      <c r="B29" s="91" t="str">
        <f>'Raw Data'!B28</f>
        <v>Other fixed assets</v>
      </c>
      <c r="C29" s="91"/>
      <c r="D29" s="91"/>
      <c r="E29" s="91"/>
      <c r="F29" s="91"/>
      <c r="G29" s="91"/>
      <c r="H29" s="92">
        <f>'Raw Data'!J28</f>
        <v>32</v>
      </c>
      <c r="I29" s="92">
        <f>'Raw Data'!K28</f>
        <v>38</v>
      </c>
      <c r="J29" s="92">
        <f>'Raw Data'!L28</f>
        <v>35</v>
      </c>
      <c r="K29" s="92">
        <f>'Raw Data'!M28</f>
        <v>51</v>
      </c>
      <c r="L29" s="92">
        <f>'Raw Data'!N28</f>
        <v>200</v>
      </c>
    </row>
    <row r="30" spans="1:12" ht="7.5" customHeight="1" x14ac:dyDescent="0.25">
      <c r="B30" s="39"/>
      <c r="H30" s="98"/>
      <c r="I30" s="98"/>
      <c r="J30" s="98"/>
      <c r="K30" s="98"/>
      <c r="L30" s="98"/>
    </row>
    <row r="31" spans="1:12" x14ac:dyDescent="0.25">
      <c r="B31" s="93" t="str">
        <f>'Raw Data'!B29</f>
        <v>Gross Block</v>
      </c>
      <c r="C31" s="93"/>
      <c r="D31" s="93"/>
      <c r="E31" s="93"/>
      <c r="F31" s="93"/>
      <c r="G31" s="93"/>
      <c r="H31" s="94">
        <f>SUM(H21:H30)</f>
        <v>9034</v>
      </c>
      <c r="I31" s="94">
        <f t="shared" ref="I31:L31" si="3">SUM(I21:I30)</f>
        <v>9408</v>
      </c>
      <c r="J31" s="94">
        <f t="shared" si="3"/>
        <v>10441</v>
      </c>
      <c r="K31" s="94">
        <f t="shared" si="3"/>
        <v>12445</v>
      </c>
      <c r="L31" s="94">
        <f t="shared" si="3"/>
        <v>18803</v>
      </c>
    </row>
    <row r="32" spans="1:12" x14ac:dyDescent="0.25">
      <c r="B32" s="99" t="str">
        <f>'Raw Data'!B30</f>
        <v>Accumulated Depreciation</v>
      </c>
      <c r="G32" s="39"/>
      <c r="H32" s="100">
        <f>-'Raw Data'!J30</f>
        <v>-2624</v>
      </c>
      <c r="I32" s="100">
        <f>-'Raw Data'!K30</f>
        <v>-3099</v>
      </c>
      <c r="J32" s="100">
        <f>-'Raw Data'!L30</f>
        <v>-3509</v>
      </c>
      <c r="K32" s="100">
        <f>-'Raw Data'!M30</f>
        <v>-4036</v>
      </c>
      <c r="L32" s="100">
        <f>-'Raw Data'!N30</f>
        <v>-5400</v>
      </c>
    </row>
    <row r="33" spans="1:13" ht="15.75" thickBot="1" x14ac:dyDescent="0.3">
      <c r="A33" t="s">
        <v>56</v>
      </c>
      <c r="B33" s="96" t="s">
        <v>201</v>
      </c>
      <c r="C33" s="96"/>
      <c r="D33" s="96"/>
      <c r="E33" s="96"/>
      <c r="F33" s="96"/>
      <c r="G33" s="96"/>
      <c r="H33" s="97">
        <f>SUM(H31:H32)</f>
        <v>6410</v>
      </c>
      <c r="I33" s="97">
        <f t="shared" ref="I33:L33" si="4">SUM(I31:I32)</f>
        <v>6309</v>
      </c>
      <c r="J33" s="97">
        <f t="shared" si="4"/>
        <v>6932</v>
      </c>
      <c r="K33" s="97">
        <f t="shared" si="4"/>
        <v>8409</v>
      </c>
      <c r="L33" s="97">
        <f t="shared" si="4"/>
        <v>13403</v>
      </c>
    </row>
    <row r="34" spans="1:13" ht="15.75" thickTop="1" x14ac:dyDescent="0.25">
      <c r="H34" s="95"/>
      <c r="I34" s="95"/>
      <c r="J34" s="95"/>
      <c r="K34" s="95"/>
      <c r="L34" s="95"/>
    </row>
    <row r="35" spans="1:13" x14ac:dyDescent="0.25">
      <c r="A35" t="s">
        <v>56</v>
      </c>
      <c r="B35" s="30" t="s">
        <v>202</v>
      </c>
      <c r="H35" s="95">
        <f>H18+H33</f>
        <v>6550</v>
      </c>
      <c r="I35" s="95">
        <f t="shared" ref="I35:L35" si="5">I18+I33</f>
        <v>6748</v>
      </c>
      <c r="J35" s="95">
        <f t="shared" si="5"/>
        <v>8208</v>
      </c>
      <c r="K35" s="95">
        <f t="shared" si="5"/>
        <v>10114</v>
      </c>
      <c r="L35" s="95">
        <f t="shared" si="5"/>
        <v>15891</v>
      </c>
    </row>
    <row r="36" spans="1:13" x14ac:dyDescent="0.25">
      <c r="B36" s="30" t="s">
        <v>203</v>
      </c>
      <c r="H36" s="95">
        <f>'Data Sheet'!G33-'Data Sheet'!G26</f>
        <v>686.26000000000022</v>
      </c>
      <c r="I36" s="95">
        <f>'Data Sheet'!H33-'Data Sheet'!H26</f>
        <v>1162.6899999999987</v>
      </c>
      <c r="J36" s="95">
        <f>'Data Sheet'!I33-'Data Sheet'!I26</f>
        <v>2245.8099999999981</v>
      </c>
      <c r="K36" s="95">
        <f>'Data Sheet'!J33-'Data Sheet'!J26</f>
        <v>3035.83</v>
      </c>
      <c r="L36" s="95">
        <f>'Data Sheet'!K33-'Data Sheet'!K26</f>
        <v>3867.5500000000006</v>
      </c>
    </row>
    <row r="37" spans="1:13" x14ac:dyDescent="0.25">
      <c r="H37" s="95"/>
      <c r="I37" s="95"/>
      <c r="J37" s="95"/>
      <c r="K37" s="95"/>
      <c r="L37" s="95"/>
    </row>
    <row r="38" spans="1:13" ht="15.75" thickBot="1" x14ac:dyDescent="0.3">
      <c r="A38" t="s">
        <v>56</v>
      </c>
      <c r="B38" s="96" t="s">
        <v>204</v>
      </c>
      <c r="C38" s="101"/>
      <c r="D38" s="101"/>
      <c r="E38" s="101"/>
      <c r="F38" s="101"/>
      <c r="G38" s="101"/>
      <c r="H38" s="102">
        <f>H36/H35</f>
        <v>0.10477251908396949</v>
      </c>
      <c r="I38" s="102">
        <f t="shared" ref="I38:L38" si="6">I36/I35</f>
        <v>0.17230142264374609</v>
      </c>
      <c r="J38" s="102">
        <f t="shared" si="6"/>
        <v>0.27361232943469765</v>
      </c>
      <c r="K38" s="102">
        <f t="shared" si="6"/>
        <v>0.30016116274471027</v>
      </c>
      <c r="L38" s="102">
        <f t="shared" si="6"/>
        <v>0.24337990057265121</v>
      </c>
    </row>
    <row r="39" spans="1:13" ht="15.75" thickTop="1" x14ac:dyDescent="0.25"/>
    <row r="40" spans="1:13" x14ac:dyDescent="0.25">
      <c r="B40" s="89" t="s">
        <v>205</v>
      </c>
      <c r="C40" s="89"/>
      <c r="D40" s="89"/>
      <c r="E40" s="89"/>
      <c r="F40" s="89"/>
      <c r="G40" s="89"/>
      <c r="H40" s="90">
        <f>H3</f>
        <v>44166</v>
      </c>
      <c r="I40" s="90">
        <f t="shared" ref="I40:L40" si="7">I3</f>
        <v>44531</v>
      </c>
      <c r="J40" s="90">
        <f t="shared" si="7"/>
        <v>44896</v>
      </c>
      <c r="K40" s="90">
        <f t="shared" si="7"/>
        <v>45261</v>
      </c>
      <c r="L40" s="90">
        <f t="shared" si="7"/>
        <v>45627</v>
      </c>
    </row>
    <row r="42" spans="1:13" x14ac:dyDescent="0.25">
      <c r="B42" s="103" t="s">
        <v>206</v>
      </c>
      <c r="C42" s="103"/>
      <c r="D42" s="103"/>
      <c r="E42" s="103"/>
      <c r="F42" s="103"/>
      <c r="G42" s="103"/>
      <c r="H42" s="104">
        <f>-SUM('CF Data'!J13:J14)</f>
        <v>536</v>
      </c>
      <c r="I42" s="104">
        <f>-SUM('CF Data'!K13:K14)</f>
        <v>816</v>
      </c>
      <c r="J42" s="104">
        <f>-SUM('CF Data'!L13:L14)</f>
        <v>1750</v>
      </c>
      <c r="K42" s="104">
        <f>-SUM('CF Data'!M13:M14)</f>
        <v>3194</v>
      </c>
      <c r="L42" s="104">
        <f>-SUM('CF Data'!N13:N14)</f>
        <v>3740</v>
      </c>
    </row>
    <row r="43" spans="1:13" x14ac:dyDescent="0.25">
      <c r="B43" s="103" t="s">
        <v>207</v>
      </c>
      <c r="C43" s="103"/>
      <c r="D43" s="103"/>
      <c r="E43" s="103"/>
      <c r="F43" s="103"/>
      <c r="G43" s="103"/>
      <c r="H43" s="104"/>
      <c r="I43" s="104">
        <f>I18-H18</f>
        <v>299</v>
      </c>
      <c r="J43" s="104">
        <f t="shared" ref="J43:L43" si="8">J18-I18</f>
        <v>837</v>
      </c>
      <c r="K43" s="104">
        <f t="shared" si="8"/>
        <v>429</v>
      </c>
      <c r="L43" s="104">
        <f t="shared" si="8"/>
        <v>783</v>
      </c>
    </row>
    <row r="44" spans="1:13" x14ac:dyDescent="0.25">
      <c r="B44" s="103"/>
      <c r="C44" s="103"/>
      <c r="D44" s="103"/>
      <c r="E44" s="103"/>
      <c r="F44" s="103"/>
      <c r="G44" s="103"/>
      <c r="H44" s="104"/>
      <c r="I44" s="104"/>
      <c r="J44" s="104"/>
      <c r="K44" s="104"/>
      <c r="L44" s="104"/>
    </row>
    <row r="45" spans="1:13" x14ac:dyDescent="0.25">
      <c r="B45" s="103" t="s">
        <v>203</v>
      </c>
      <c r="C45" s="103"/>
      <c r="D45" s="103"/>
      <c r="E45" s="103"/>
      <c r="F45" s="103"/>
      <c r="G45" s="103"/>
      <c r="H45" s="104">
        <f>H36</f>
        <v>686.26000000000022</v>
      </c>
      <c r="I45" s="104">
        <f t="shared" ref="I45:L45" si="9">I36</f>
        <v>1162.6899999999987</v>
      </c>
      <c r="J45" s="104">
        <f t="shared" si="9"/>
        <v>2245.8099999999981</v>
      </c>
      <c r="K45" s="104">
        <f t="shared" si="9"/>
        <v>3035.83</v>
      </c>
      <c r="L45" s="104">
        <f t="shared" si="9"/>
        <v>3867.5500000000006</v>
      </c>
    </row>
    <row r="46" spans="1:13" x14ac:dyDescent="0.25">
      <c r="B46" s="103" t="s">
        <v>208</v>
      </c>
      <c r="C46" s="103"/>
      <c r="D46" s="103"/>
      <c r="E46" s="103"/>
      <c r="F46" s="103"/>
      <c r="G46" s="103"/>
      <c r="H46" s="105">
        <v>0.25</v>
      </c>
      <c r="I46" s="105">
        <v>0.25</v>
      </c>
      <c r="J46" s="105">
        <v>0.25</v>
      </c>
      <c r="K46" s="105">
        <v>0.25</v>
      </c>
      <c r="L46" s="105">
        <v>0.25</v>
      </c>
    </row>
    <row r="47" spans="1:13" x14ac:dyDescent="0.25">
      <c r="B47" s="103" t="s">
        <v>209</v>
      </c>
      <c r="C47" s="103"/>
      <c r="D47" s="103"/>
      <c r="E47" s="103"/>
      <c r="F47" s="103"/>
      <c r="G47" s="103"/>
      <c r="H47" s="104">
        <f>H45*(1-H46)</f>
        <v>514.69500000000016</v>
      </c>
      <c r="I47" s="104">
        <f t="shared" ref="I47:L47" si="10">I45*(1-I46)</f>
        <v>872.01749999999902</v>
      </c>
      <c r="J47" s="104">
        <f t="shared" si="10"/>
        <v>1684.3574999999987</v>
      </c>
      <c r="K47" s="104">
        <f t="shared" si="10"/>
        <v>2276.8724999999999</v>
      </c>
      <c r="L47" s="104">
        <f t="shared" si="10"/>
        <v>2900.6625000000004</v>
      </c>
      <c r="M47" s="106"/>
    </row>
    <row r="48" spans="1:13" x14ac:dyDescent="0.25">
      <c r="B48" s="103"/>
      <c r="C48" s="103"/>
      <c r="D48" s="103"/>
      <c r="E48" s="103"/>
      <c r="F48" s="103"/>
      <c r="G48" s="103"/>
      <c r="H48" s="104"/>
      <c r="I48" s="104"/>
      <c r="J48" s="104"/>
      <c r="K48" s="104"/>
      <c r="L48" s="104"/>
      <c r="M48" s="111"/>
    </row>
    <row r="49" spans="2:13" x14ac:dyDescent="0.25">
      <c r="B49" s="103" t="s">
        <v>193</v>
      </c>
      <c r="C49" s="103"/>
      <c r="D49" s="103"/>
      <c r="E49" s="103"/>
      <c r="F49" s="103"/>
      <c r="G49" s="103"/>
      <c r="H49" s="104"/>
      <c r="I49" s="104">
        <f>SUM(I42:I43)</f>
        <v>1115</v>
      </c>
      <c r="J49" s="104">
        <f t="shared" ref="J49:L49" si="11">SUM(J42:J43)</f>
        <v>2587</v>
      </c>
      <c r="K49" s="104">
        <f t="shared" si="11"/>
        <v>3623</v>
      </c>
      <c r="L49" s="104">
        <f t="shared" si="11"/>
        <v>4523</v>
      </c>
      <c r="M49" s="111"/>
    </row>
    <row r="50" spans="2:13" ht="6" customHeight="1" x14ac:dyDescent="0.25">
      <c r="H50" s="106"/>
      <c r="I50" s="106"/>
      <c r="J50" s="106"/>
      <c r="K50" s="106"/>
      <c r="L50" s="106"/>
      <c r="M50" s="111"/>
    </row>
    <row r="51" spans="2:13" ht="15.75" thickBot="1" x14ac:dyDescent="0.3">
      <c r="B51" s="107" t="s">
        <v>210</v>
      </c>
      <c r="C51" s="107"/>
      <c r="D51" s="107"/>
      <c r="E51" s="107"/>
      <c r="F51" s="107"/>
      <c r="G51" s="107"/>
      <c r="H51" s="108"/>
      <c r="I51" s="217">
        <f>I49/I47</f>
        <v>1.2786440639092693</v>
      </c>
      <c r="J51" s="217">
        <f t="shared" ref="J51:L51" si="12">J49/J47</f>
        <v>1.5358972189692521</v>
      </c>
      <c r="K51" s="217">
        <f t="shared" si="12"/>
        <v>1.5912177778948975</v>
      </c>
      <c r="L51" s="217">
        <f t="shared" si="12"/>
        <v>1.5592989532563679</v>
      </c>
      <c r="M51" s="111"/>
    </row>
    <row r="52" spans="2:13" x14ac:dyDescent="0.25">
      <c r="H52" s="106"/>
      <c r="I52" s="106"/>
      <c r="J52" s="106"/>
      <c r="K52" s="106"/>
      <c r="L52" s="106"/>
      <c r="M52" s="111"/>
    </row>
    <row r="53" spans="2:13" x14ac:dyDescent="0.25">
      <c r="H53" s="106"/>
      <c r="I53" s="106"/>
      <c r="J53" s="106"/>
      <c r="K53" s="112" t="s">
        <v>211</v>
      </c>
      <c r="L53" s="215">
        <f>AVERAGE(I51:L51)</f>
        <v>1.4912645035074468</v>
      </c>
      <c r="M53" s="106"/>
    </row>
    <row r="54" spans="2:13" x14ac:dyDescent="0.25">
      <c r="H54" s="106"/>
      <c r="I54" s="106"/>
      <c r="J54" s="106"/>
      <c r="K54" s="112" t="s">
        <v>215</v>
      </c>
      <c r="L54" s="215">
        <f>MEDIAN(I51:L51)</f>
        <v>1.54759808611281</v>
      </c>
      <c r="M54" s="106"/>
    </row>
    <row r="56" spans="2:13" x14ac:dyDescent="0.25">
      <c r="B56" s="89" t="s">
        <v>212</v>
      </c>
      <c r="C56" s="89"/>
      <c r="D56" s="89"/>
      <c r="E56" s="89"/>
      <c r="F56" s="89"/>
      <c r="G56" s="89"/>
      <c r="H56" s="90">
        <f>H40</f>
        <v>44166</v>
      </c>
      <c r="I56" s="90">
        <f t="shared" ref="I56:L56" si="13">I40</f>
        <v>44531</v>
      </c>
      <c r="J56" s="90">
        <f t="shared" si="13"/>
        <v>44896</v>
      </c>
      <c r="K56" s="90">
        <f t="shared" si="13"/>
        <v>45261</v>
      </c>
      <c r="L56" s="90">
        <f t="shared" si="13"/>
        <v>45627</v>
      </c>
    </row>
    <row r="58" spans="2:13" x14ac:dyDescent="0.25">
      <c r="B58" s="103" t="s">
        <v>213</v>
      </c>
      <c r="C58" s="103"/>
      <c r="D58" s="103"/>
      <c r="E58" s="103"/>
      <c r="F58" s="103"/>
      <c r="G58" s="103"/>
      <c r="H58" s="103"/>
      <c r="I58" s="218">
        <f>I51</f>
        <v>1.2786440639092693</v>
      </c>
      <c r="J58" s="218">
        <f t="shared" ref="J58:L58" si="14">J51</f>
        <v>1.5358972189692521</v>
      </c>
      <c r="K58" s="218">
        <f t="shared" si="14"/>
        <v>1.5912177778948975</v>
      </c>
      <c r="L58" s="218">
        <f t="shared" si="14"/>
        <v>1.5592989532563679</v>
      </c>
    </row>
    <row r="59" spans="2:13" x14ac:dyDescent="0.25">
      <c r="B59" s="103" t="s">
        <v>204</v>
      </c>
      <c r="C59" s="103"/>
      <c r="D59" s="103"/>
      <c r="E59" s="103"/>
      <c r="F59" s="103"/>
      <c r="G59" s="103"/>
      <c r="H59" s="109">
        <f>H38</f>
        <v>0.10477251908396949</v>
      </c>
      <c r="I59" s="109">
        <f t="shared" ref="I59:L59" si="15">I38</f>
        <v>0.17230142264374609</v>
      </c>
      <c r="J59" s="109">
        <f t="shared" si="15"/>
        <v>0.27361232943469765</v>
      </c>
      <c r="K59" s="109">
        <f t="shared" si="15"/>
        <v>0.30016116274471027</v>
      </c>
      <c r="L59" s="109">
        <f t="shared" si="15"/>
        <v>0.24337990057265121</v>
      </c>
    </row>
    <row r="60" spans="2:13" ht="6" customHeight="1" x14ac:dyDescent="0.25"/>
    <row r="61" spans="2:13" ht="15.75" thickBot="1" x14ac:dyDescent="0.3">
      <c r="B61" s="107" t="s">
        <v>214</v>
      </c>
      <c r="C61" s="107"/>
      <c r="D61" s="107"/>
      <c r="E61" s="107"/>
      <c r="F61" s="107"/>
      <c r="G61" s="107"/>
      <c r="H61" s="107"/>
      <c r="I61" s="216">
        <f>I58*I59</f>
        <v>0.22031219126654811</v>
      </c>
      <c r="J61" s="216">
        <f t="shared" ref="J61:L61" si="16">J58*J59</f>
        <v>0.42024041585445099</v>
      </c>
      <c r="K61" s="216">
        <f t="shared" si="16"/>
        <v>0.47762177839298658</v>
      </c>
      <c r="L61" s="216">
        <f t="shared" si="16"/>
        <v>0.37950202420657392</v>
      </c>
    </row>
    <row r="62" spans="2:13" x14ac:dyDescent="0.25">
      <c r="I62" s="106"/>
      <c r="J62" s="106"/>
      <c r="K62" s="106"/>
      <c r="L62" s="106"/>
    </row>
    <row r="63" spans="2:13" x14ac:dyDescent="0.25">
      <c r="I63" s="106"/>
      <c r="J63" s="106"/>
      <c r="K63" s="112" t="s">
        <v>211</v>
      </c>
      <c r="L63" s="214">
        <f>AVERAGE(I61:L61)</f>
        <v>0.37441910243013987</v>
      </c>
    </row>
    <row r="64" spans="2:13" x14ac:dyDescent="0.25">
      <c r="I64" s="106"/>
      <c r="J64" s="106"/>
      <c r="K64" s="112" t="s">
        <v>215</v>
      </c>
      <c r="L64" s="214">
        <f>MEDIAN(I61:L61)</f>
        <v>0.39987122003051245</v>
      </c>
    </row>
  </sheetData>
  <mergeCells count="1">
    <mergeCell ref="B2:L2"/>
  </mergeCells>
  <pageMargins left="0.7" right="0.7" top="0.75" bottom="0.75" header="0.3" footer="0.3"/>
  <ignoredErrors>
    <ignoredError sqref="H7:L7 H42:L4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0"/>
  <sheetViews>
    <sheetView showGridLines="0" workbookViewId="0">
      <selection activeCell="G9" sqref="G9"/>
    </sheetView>
  </sheetViews>
  <sheetFormatPr defaultRowHeight="15" x14ac:dyDescent="0.25"/>
  <cols>
    <col min="1" max="1" width="1.85546875" customWidth="1"/>
    <col min="2" max="2" width="18" bestFit="1" customWidth="1"/>
    <col min="3" max="4" width="11.42578125" customWidth="1"/>
    <col min="5" max="5" width="12.5703125" bestFit="1" customWidth="1"/>
    <col min="6" max="6" width="11.42578125" bestFit="1" customWidth="1"/>
    <col min="7" max="7" width="18" bestFit="1" customWidth="1"/>
    <col min="8" max="8" width="12" bestFit="1" customWidth="1"/>
    <col min="9" max="9" width="14.5703125" bestFit="1" customWidth="1"/>
    <col min="10" max="11" width="12" bestFit="1" customWidth="1"/>
    <col min="12" max="12" width="13.42578125" bestFit="1" customWidth="1"/>
    <col min="13" max="13" width="12" bestFit="1" customWidth="1"/>
    <col min="14" max="14" width="12.42578125" bestFit="1" customWidth="1"/>
    <col min="15" max="15" width="12.5703125" bestFit="1" customWidth="1"/>
  </cols>
  <sheetData>
    <row r="2" spans="2:22" x14ac:dyDescent="0.25">
      <c r="B2" s="113" t="str">
        <f>"Quantitative /statistical growth rate"&amp;" - "&amp;'Data Sheet'!B1</f>
        <v>Quantitative /statistical growth rate - VARUN BEVERAGES LTD</v>
      </c>
      <c r="C2" s="113"/>
      <c r="D2" s="113"/>
      <c r="E2" s="74"/>
      <c r="F2" s="114"/>
      <c r="G2" s="114"/>
      <c r="H2" s="114"/>
      <c r="I2" s="114"/>
      <c r="J2" s="114"/>
      <c r="K2" s="114"/>
      <c r="L2" s="114"/>
      <c r="M2" s="114"/>
      <c r="N2" s="114"/>
    </row>
    <row r="4" spans="2:22" x14ac:dyDescent="0.25">
      <c r="B4" s="115" t="s">
        <v>216</v>
      </c>
      <c r="C4" s="8" t="s">
        <v>217</v>
      </c>
      <c r="D4" s="8" t="s">
        <v>12</v>
      </c>
      <c r="E4" s="8" t="s">
        <v>58</v>
      </c>
    </row>
    <row r="5" spans="2:22" x14ac:dyDescent="0.25">
      <c r="B5" s="116">
        <v>1</v>
      </c>
      <c r="C5" s="117">
        <v>2015</v>
      </c>
      <c r="D5" s="118">
        <v>3394.14</v>
      </c>
      <c r="E5" s="73" t="s">
        <v>59</v>
      </c>
    </row>
    <row r="6" spans="2:22" x14ac:dyDescent="0.25">
      <c r="B6" s="116">
        <f>B5+1</f>
        <v>2</v>
      </c>
      <c r="C6" s="117">
        <f>C5+1</f>
        <v>2016</v>
      </c>
      <c r="D6" s="118">
        <v>3861.18</v>
      </c>
      <c r="E6" s="28">
        <f>D6/D5-1</f>
        <v>0.13760186674680486</v>
      </c>
    </row>
    <row r="7" spans="2:22" x14ac:dyDescent="0.25">
      <c r="B7" s="116">
        <f t="shared" ref="B7:C21" si="0">B6+1</f>
        <v>3</v>
      </c>
      <c r="C7" s="117">
        <f t="shared" si="0"/>
        <v>2017</v>
      </c>
      <c r="D7" s="118">
        <v>4003.54</v>
      </c>
      <c r="E7" s="28">
        <f t="shared" ref="E7:E21" si="1">D7/D6-1</f>
        <v>3.6869558010763637E-2</v>
      </c>
    </row>
    <row r="8" spans="2:22" x14ac:dyDescent="0.25">
      <c r="B8" s="116">
        <f t="shared" si="0"/>
        <v>4</v>
      </c>
      <c r="C8" s="117">
        <f t="shared" si="0"/>
        <v>2018</v>
      </c>
      <c r="D8" s="118">
        <v>5105.26</v>
      </c>
      <c r="E8" s="28">
        <f t="shared" si="1"/>
        <v>0.27518645998291524</v>
      </c>
    </row>
    <row r="9" spans="2:22" x14ac:dyDescent="0.25">
      <c r="B9" s="116">
        <f t="shared" si="0"/>
        <v>5</v>
      </c>
      <c r="C9" s="117">
        <f t="shared" si="0"/>
        <v>2019</v>
      </c>
      <c r="D9" s="118">
        <v>7129.58</v>
      </c>
      <c r="E9" s="28">
        <f t="shared" si="1"/>
        <v>0.39651653392775277</v>
      </c>
    </row>
    <row r="10" spans="2:22" x14ac:dyDescent="0.25">
      <c r="B10" s="116">
        <f t="shared" si="0"/>
        <v>6</v>
      </c>
      <c r="C10" s="117">
        <f t="shared" si="0"/>
        <v>2020</v>
      </c>
      <c r="D10" s="118">
        <v>6450.14</v>
      </c>
      <c r="E10" s="28">
        <f t="shared" si="1"/>
        <v>-9.5298741300329004E-2</v>
      </c>
    </row>
    <row r="11" spans="2:22" x14ac:dyDescent="0.25">
      <c r="B11" s="116">
        <f t="shared" si="0"/>
        <v>7</v>
      </c>
      <c r="C11" s="117">
        <f t="shared" si="0"/>
        <v>2021</v>
      </c>
      <c r="D11" s="118">
        <v>8823.23</v>
      </c>
      <c r="E11" s="28">
        <f t="shared" si="1"/>
        <v>0.36791294452523493</v>
      </c>
    </row>
    <row r="12" spans="2:22" x14ac:dyDescent="0.25">
      <c r="B12" s="116">
        <f t="shared" si="0"/>
        <v>8</v>
      </c>
      <c r="C12" s="117">
        <f t="shared" si="0"/>
        <v>2022</v>
      </c>
      <c r="D12" s="118">
        <v>13173.14</v>
      </c>
      <c r="E12" s="28">
        <f t="shared" si="1"/>
        <v>0.49300652935489619</v>
      </c>
    </row>
    <row r="13" spans="2:22" x14ac:dyDescent="0.25">
      <c r="B13" s="116">
        <f t="shared" si="0"/>
        <v>9</v>
      </c>
      <c r="C13" s="117">
        <f t="shared" si="0"/>
        <v>2023</v>
      </c>
      <c r="D13" s="118">
        <v>16042.58</v>
      </c>
      <c r="E13" s="28">
        <f t="shared" si="1"/>
        <v>0.21782505917343942</v>
      </c>
    </row>
    <row r="14" spans="2:22" x14ac:dyDescent="0.25">
      <c r="B14" s="116">
        <f t="shared" si="0"/>
        <v>10</v>
      </c>
      <c r="C14" s="117">
        <f t="shared" si="0"/>
        <v>2024</v>
      </c>
      <c r="D14" s="118">
        <v>20007.650000000001</v>
      </c>
      <c r="E14" s="28">
        <f t="shared" si="1"/>
        <v>0.24715912278448982</v>
      </c>
    </row>
    <row r="15" spans="2:22" x14ac:dyDescent="0.25">
      <c r="B15" s="116">
        <f t="shared" si="0"/>
        <v>11</v>
      </c>
      <c r="C15" s="119">
        <f t="shared" si="0"/>
        <v>2025</v>
      </c>
      <c r="D15" s="137">
        <f>$H$31+B15*$H$32</f>
        <v>18502.83933333333</v>
      </c>
      <c r="E15" s="28">
        <f t="shared" si="1"/>
        <v>-7.5211764833284844E-2</v>
      </c>
      <c r="G15" t="s">
        <v>218</v>
      </c>
      <c r="P15" s="39"/>
      <c r="Q15" s="39"/>
      <c r="R15" s="39"/>
      <c r="S15" s="39"/>
      <c r="T15" s="39"/>
      <c r="U15" s="39"/>
      <c r="V15" s="39"/>
    </row>
    <row r="16" spans="2:22" ht="15.75" thickBot="1" x14ac:dyDescent="0.3">
      <c r="B16" s="116">
        <f t="shared" si="0"/>
        <v>12</v>
      </c>
      <c r="C16" s="119">
        <f t="shared" si="0"/>
        <v>2026</v>
      </c>
      <c r="D16" s="137">
        <f t="shared" ref="D16:D21" si="2">$H$31+B16*$H$32</f>
        <v>20267.165757575756</v>
      </c>
      <c r="E16" s="28">
        <f t="shared" si="1"/>
        <v>9.535436115817908E-2</v>
      </c>
      <c r="P16" s="39"/>
      <c r="Q16" s="39"/>
      <c r="R16" s="39"/>
      <c r="S16" s="39"/>
      <c r="T16" s="39"/>
      <c r="U16" s="39"/>
      <c r="V16" s="39"/>
    </row>
    <row r="17" spans="2:22" x14ac:dyDescent="0.25">
      <c r="B17" s="116">
        <f t="shared" si="0"/>
        <v>13</v>
      </c>
      <c r="C17" s="119">
        <f t="shared" si="0"/>
        <v>2027</v>
      </c>
      <c r="D17" s="137">
        <f t="shared" si="2"/>
        <v>22031.492181818183</v>
      </c>
      <c r="E17" s="28">
        <f t="shared" si="1"/>
        <v>8.7053436348539792E-2</v>
      </c>
      <c r="G17" s="122" t="s">
        <v>219</v>
      </c>
      <c r="H17" s="122"/>
      <c r="P17" s="39"/>
      <c r="Q17" s="39"/>
      <c r="R17" s="39"/>
      <c r="S17" s="39"/>
      <c r="T17" s="39"/>
      <c r="U17" s="39"/>
      <c r="V17" s="39"/>
    </row>
    <row r="18" spans="2:22" x14ac:dyDescent="0.25">
      <c r="B18" s="116">
        <f t="shared" si="0"/>
        <v>14</v>
      </c>
      <c r="C18" s="119">
        <f t="shared" si="0"/>
        <v>2028</v>
      </c>
      <c r="D18" s="137">
        <f t="shared" si="2"/>
        <v>23795.818606060602</v>
      </c>
      <c r="E18" s="28">
        <f t="shared" si="1"/>
        <v>8.0082021212274368E-2</v>
      </c>
      <c r="G18" s="123" t="s">
        <v>220</v>
      </c>
      <c r="H18" s="123">
        <v>0.93180403473944262</v>
      </c>
      <c r="P18" s="39"/>
      <c r="Q18" s="39"/>
      <c r="R18" s="39"/>
      <c r="S18" s="39"/>
      <c r="T18" s="39"/>
      <c r="U18" s="39"/>
      <c r="V18" s="39"/>
    </row>
    <row r="19" spans="2:22" x14ac:dyDescent="0.25">
      <c r="B19" s="116">
        <f t="shared" si="0"/>
        <v>15</v>
      </c>
      <c r="C19" s="119">
        <f t="shared" si="0"/>
        <v>2029</v>
      </c>
      <c r="D19" s="137">
        <f t="shared" si="2"/>
        <v>25560.145030303029</v>
      </c>
      <c r="E19" s="28">
        <f t="shared" si="1"/>
        <v>7.4144388703361042E-2</v>
      </c>
      <c r="G19" s="123" t="s">
        <v>221</v>
      </c>
      <c r="H19" s="123">
        <v>0.86825875915670447</v>
      </c>
      <c r="P19" s="39"/>
      <c r="Q19" s="39"/>
      <c r="R19" s="39"/>
      <c r="S19" s="39"/>
      <c r="T19" s="39"/>
      <c r="U19" s="39"/>
      <c r="V19" s="39"/>
    </row>
    <row r="20" spans="2:22" x14ac:dyDescent="0.25">
      <c r="B20" s="116">
        <f>B19+1</f>
        <v>16</v>
      </c>
      <c r="C20" s="119">
        <f t="shared" si="0"/>
        <v>2030</v>
      </c>
      <c r="D20" s="137">
        <f t="shared" si="2"/>
        <v>27324.471454545455</v>
      </c>
      <c r="E20" s="28">
        <f t="shared" si="1"/>
        <v>6.9026463744658484E-2</v>
      </c>
      <c r="G20" s="123" t="s">
        <v>222</v>
      </c>
      <c r="H20" s="123">
        <v>0.85179110405129255</v>
      </c>
      <c r="P20" s="39"/>
      <c r="Q20" s="39"/>
      <c r="R20" s="39"/>
      <c r="S20" s="39"/>
      <c r="T20" s="39"/>
      <c r="U20" s="39"/>
      <c r="V20" s="39"/>
    </row>
    <row r="21" spans="2:22" x14ac:dyDescent="0.25">
      <c r="B21" s="116">
        <f>B20+1</f>
        <v>17</v>
      </c>
      <c r="C21" s="119">
        <f t="shared" si="0"/>
        <v>2031</v>
      </c>
      <c r="D21" s="137">
        <f t="shared" si="2"/>
        <v>29088.797878787875</v>
      </c>
      <c r="E21" s="28">
        <f t="shared" si="1"/>
        <v>6.456946210935488E-2</v>
      </c>
      <c r="G21" s="123" t="s">
        <v>223</v>
      </c>
      <c r="H21" s="123">
        <v>2206.973952854767</v>
      </c>
      <c r="P21" s="39"/>
      <c r="Q21" s="39"/>
      <c r="R21" s="39"/>
      <c r="S21" s="39"/>
      <c r="T21" s="39"/>
      <c r="U21" s="39"/>
      <c r="V21" s="39"/>
    </row>
    <row r="22" spans="2:22" ht="15.75" thickBot="1" x14ac:dyDescent="0.3">
      <c r="G22" s="124" t="s">
        <v>224</v>
      </c>
      <c r="H22" s="124">
        <v>10</v>
      </c>
      <c r="P22" s="39"/>
      <c r="Q22" s="39"/>
      <c r="R22" s="39"/>
      <c r="S22" s="39"/>
      <c r="T22" s="39"/>
      <c r="U22" s="39"/>
      <c r="V22" s="39"/>
    </row>
    <row r="23" spans="2:22" x14ac:dyDescent="0.25">
      <c r="B23" s="12"/>
      <c r="C23" s="12"/>
      <c r="D23" s="125"/>
      <c r="E23" s="12"/>
      <c r="P23" s="39"/>
      <c r="Q23" s="39"/>
      <c r="R23" s="39"/>
      <c r="S23" s="39"/>
      <c r="T23" s="39"/>
      <c r="U23" s="39"/>
      <c r="V23" s="39"/>
    </row>
    <row r="24" spans="2:22" ht="15.75" thickBot="1" x14ac:dyDescent="0.3">
      <c r="B24" s="12"/>
      <c r="C24" s="12"/>
      <c r="D24" s="12"/>
      <c r="E24" s="12"/>
      <c r="G24" t="s">
        <v>225</v>
      </c>
      <c r="P24" s="39"/>
      <c r="Q24" s="39"/>
      <c r="R24" s="39"/>
      <c r="S24" s="39"/>
      <c r="T24" s="39"/>
      <c r="U24" s="39"/>
      <c r="V24" s="39"/>
    </row>
    <row r="25" spans="2:22" x14ac:dyDescent="0.25">
      <c r="B25" s="12"/>
      <c r="C25" s="12"/>
      <c r="D25" s="125"/>
      <c r="E25" s="12"/>
      <c r="G25" s="126"/>
      <c r="H25" s="126" t="s">
        <v>226</v>
      </c>
      <c r="I25" s="126" t="s">
        <v>227</v>
      </c>
      <c r="J25" s="126" t="s">
        <v>228</v>
      </c>
      <c r="K25" s="126" t="s">
        <v>229</v>
      </c>
      <c r="L25" s="126" t="s">
        <v>230</v>
      </c>
      <c r="P25" s="39"/>
      <c r="Q25" s="39"/>
      <c r="R25" s="39"/>
      <c r="S25" s="39"/>
      <c r="T25" s="39"/>
      <c r="U25" s="39"/>
      <c r="V25" s="39"/>
    </row>
    <row r="26" spans="2:22" x14ac:dyDescent="0.25">
      <c r="B26" s="12"/>
      <c r="C26" s="12"/>
      <c r="D26" s="125"/>
      <c r="E26" s="12"/>
      <c r="G26" s="123" t="s">
        <v>231</v>
      </c>
      <c r="H26" s="123">
        <v>1</v>
      </c>
      <c r="I26" s="123">
        <v>256809937.83060488</v>
      </c>
      <c r="J26" s="123">
        <v>256809937.83060488</v>
      </c>
      <c r="K26" s="123">
        <v>52.725099815295472</v>
      </c>
      <c r="L26" s="123">
        <v>8.7100621705720924E-5</v>
      </c>
      <c r="P26" s="39"/>
      <c r="Q26" s="39"/>
      <c r="R26" s="39"/>
      <c r="S26" s="39"/>
      <c r="T26" s="39"/>
      <c r="U26" s="39"/>
      <c r="V26" s="39"/>
    </row>
    <row r="27" spans="2:22" x14ac:dyDescent="0.25">
      <c r="B27" s="12"/>
      <c r="C27" s="12"/>
      <c r="D27" s="12"/>
      <c r="E27" s="12"/>
      <c r="G27" s="123" t="s">
        <v>232</v>
      </c>
      <c r="H27" s="123">
        <v>8</v>
      </c>
      <c r="I27" s="123">
        <v>38965872.22863517</v>
      </c>
      <c r="J27" s="123">
        <v>4870734.0285793962</v>
      </c>
      <c r="K27" s="123"/>
      <c r="L27" s="123"/>
      <c r="P27" s="39"/>
      <c r="Q27" s="39"/>
      <c r="R27" s="39"/>
      <c r="S27" s="39"/>
      <c r="T27" s="39"/>
      <c r="U27" s="39"/>
      <c r="V27" s="39"/>
    </row>
    <row r="28" spans="2:22" ht="15.75" thickBot="1" x14ac:dyDescent="0.3">
      <c r="G28" s="124" t="s">
        <v>35</v>
      </c>
      <c r="H28" s="124">
        <v>9</v>
      </c>
      <c r="I28" s="124">
        <v>295775810.05924004</v>
      </c>
      <c r="J28" s="124"/>
      <c r="K28" s="124"/>
      <c r="L28" s="124"/>
      <c r="P28" s="39"/>
      <c r="Q28" s="39"/>
      <c r="R28" s="39"/>
      <c r="S28" s="39"/>
      <c r="T28" s="39"/>
      <c r="U28" s="39"/>
      <c r="V28" s="39"/>
    </row>
    <row r="29" spans="2:22" ht="15.75" thickBot="1" x14ac:dyDescent="0.3">
      <c r="P29" s="39"/>
      <c r="Q29" s="39"/>
      <c r="R29" s="39"/>
      <c r="S29" s="39"/>
      <c r="T29" s="39"/>
      <c r="U29" s="39"/>
      <c r="V29" s="39"/>
    </row>
    <row r="30" spans="2:22" x14ac:dyDescent="0.25">
      <c r="G30" s="126"/>
      <c r="H30" s="126" t="s">
        <v>233</v>
      </c>
      <c r="I30" s="126" t="s">
        <v>223</v>
      </c>
      <c r="J30" s="126" t="s">
        <v>234</v>
      </c>
      <c r="K30" s="126" t="s">
        <v>235</v>
      </c>
      <c r="L30" s="126" t="s">
        <v>236</v>
      </c>
      <c r="M30" s="126" t="s">
        <v>237</v>
      </c>
      <c r="N30" s="126" t="s">
        <v>238</v>
      </c>
      <c r="O30" s="126" t="s">
        <v>239</v>
      </c>
      <c r="P30" s="39"/>
      <c r="Q30" s="39"/>
      <c r="R30" s="39"/>
      <c r="S30" s="39"/>
      <c r="T30" s="39"/>
      <c r="U30" s="39"/>
      <c r="V30" s="39"/>
    </row>
    <row r="31" spans="2:22" x14ac:dyDescent="0.25">
      <c r="G31" s="123" t="s">
        <v>240</v>
      </c>
      <c r="H31" s="123">
        <v>-904.75133333333179</v>
      </c>
      <c r="I31" s="123">
        <v>1507.650229110536</v>
      </c>
      <c r="J31" s="123">
        <v>-0.60010691861009779</v>
      </c>
      <c r="K31" s="123">
        <v>0.56504222849243924</v>
      </c>
      <c r="L31" s="123">
        <v>-4381.398993231589</v>
      </c>
      <c r="M31" s="123">
        <v>2571.8963265649254</v>
      </c>
      <c r="N31" s="123">
        <v>-4381.398993231589</v>
      </c>
      <c r="O31" s="123">
        <v>2571.8963265649254</v>
      </c>
      <c r="P31" s="39"/>
      <c r="Q31" s="39"/>
      <c r="R31" s="39"/>
      <c r="S31" s="39"/>
      <c r="T31" s="39"/>
      <c r="U31" s="39"/>
      <c r="V31" s="39"/>
    </row>
    <row r="32" spans="2:22" ht="15.75" thickBot="1" x14ac:dyDescent="0.3">
      <c r="G32" s="124" t="s">
        <v>216</v>
      </c>
      <c r="H32" s="124">
        <v>1764.3264242424241</v>
      </c>
      <c r="I32" s="124">
        <v>242.97983526707918</v>
      </c>
      <c r="J32" s="124">
        <v>7.2612051214172046</v>
      </c>
      <c r="K32" s="124">
        <v>8.7100621705721074E-5</v>
      </c>
      <c r="L32" s="124">
        <v>1204.0139198082009</v>
      </c>
      <c r="M32" s="124">
        <v>2324.6389286766471</v>
      </c>
      <c r="N32" s="124">
        <v>1204.0139198082009</v>
      </c>
      <c r="O32" s="124">
        <v>2324.6389286766471</v>
      </c>
      <c r="P32" s="39"/>
      <c r="Q32" s="39"/>
      <c r="R32" s="39"/>
      <c r="S32" s="39"/>
      <c r="T32" s="39"/>
      <c r="U32" s="39"/>
      <c r="V32" s="39"/>
    </row>
    <row r="33" spans="2:22" x14ac:dyDescent="0.25">
      <c r="P33" s="39"/>
      <c r="Q33" s="39"/>
      <c r="R33" s="39"/>
      <c r="S33" s="39"/>
      <c r="T33" s="39"/>
      <c r="U33" s="39"/>
      <c r="V33" s="39"/>
    </row>
    <row r="38" spans="2:22" x14ac:dyDescent="0.25">
      <c r="B38" s="116"/>
      <c r="C38" s="119"/>
      <c r="D38" s="120"/>
      <c r="E38" s="121"/>
    </row>
    <row r="39" spans="2:22" x14ac:dyDescent="0.25">
      <c r="B39" s="116"/>
      <c r="C39" s="119"/>
      <c r="D39" s="120"/>
      <c r="E39" s="121"/>
    </row>
    <row r="40" spans="2:22" x14ac:dyDescent="0.25">
      <c r="B40" s="116"/>
      <c r="C40" s="119"/>
      <c r="D40" s="120"/>
      <c r="E40" s="121"/>
    </row>
    <row r="41" spans="2:22" x14ac:dyDescent="0.25">
      <c r="B41" s="116"/>
      <c r="C41" s="119"/>
      <c r="D41" s="120"/>
      <c r="E41" s="121"/>
    </row>
    <row r="42" spans="2:22" x14ac:dyDescent="0.25">
      <c r="B42" s="116"/>
      <c r="C42" s="119"/>
      <c r="D42" s="120"/>
      <c r="E42" s="121"/>
    </row>
    <row r="46" spans="2:22" x14ac:dyDescent="0.25">
      <c r="E46" s="28"/>
    </row>
    <row r="47" spans="2:22" x14ac:dyDescent="0.25">
      <c r="E47" s="28"/>
    </row>
    <row r="48" spans="2:22" x14ac:dyDescent="0.25">
      <c r="E48" s="28"/>
    </row>
    <row r="49" spans="5:5" x14ac:dyDescent="0.25">
      <c r="E49" s="28"/>
    </row>
    <row r="50" spans="5:5" x14ac:dyDescent="0.25">
      <c r="E50" s="2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showGridLines="0" workbookViewId="0">
      <selection activeCell="B2" sqref="B2:E2"/>
    </sheetView>
  </sheetViews>
  <sheetFormatPr defaultRowHeight="15" x14ac:dyDescent="0.25"/>
  <cols>
    <col min="2" max="2" width="19.28515625" customWidth="1"/>
    <col min="3" max="3" width="8" customWidth="1"/>
    <col min="4" max="4" width="10" customWidth="1"/>
    <col min="5" max="5" width="12.7109375" bestFit="1" customWidth="1"/>
    <col min="6" max="6" width="2.7109375" customWidth="1"/>
    <col min="7" max="7" width="12" bestFit="1" customWidth="1"/>
    <col min="11" max="11" width="2.7109375" customWidth="1"/>
    <col min="12" max="12" width="14" customWidth="1"/>
    <col min="13" max="13" width="6.28515625" bestFit="1" customWidth="1"/>
    <col min="14" max="14" width="9.7109375" bestFit="1" customWidth="1"/>
    <col min="15" max="15" width="17.42578125" customWidth="1"/>
  </cols>
  <sheetData>
    <row r="2" spans="2:15" x14ac:dyDescent="0.25">
      <c r="B2" s="268" t="str">
        <f>'Data Sheet'!$B$1&amp;" - "&amp;'Data Sheet'!A17&amp;" Forecasting"</f>
        <v>VARUN BEVERAGES LTD - Sales Forecasting</v>
      </c>
      <c r="C2" s="268"/>
      <c r="D2" s="268"/>
      <c r="E2" s="268"/>
      <c r="G2" s="268" t="str">
        <f>'Data Sheet'!$B$1&amp;" - "&amp;'Historical''FS'!B18&amp;" Forecasting"</f>
        <v>VARUN BEVERAGES LTD - EBITDA Forecasting</v>
      </c>
      <c r="H2" s="268"/>
      <c r="I2" s="268"/>
      <c r="J2" s="268"/>
      <c r="L2" s="268" t="str">
        <f>'Data Sheet'!$B$1&amp;" - "&amp;'Historical''FS'!B33&amp;" Forecasting"</f>
        <v>VARUN BEVERAGES LTD - Net Profit Forecasting</v>
      </c>
      <c r="M2" s="268"/>
      <c r="N2" s="268"/>
      <c r="O2" s="268"/>
    </row>
    <row r="3" spans="2:15" x14ac:dyDescent="0.25">
      <c r="B3" s="115" t="s">
        <v>216</v>
      </c>
      <c r="C3" s="8" t="s">
        <v>217</v>
      </c>
      <c r="D3" s="8" t="s">
        <v>12</v>
      </c>
      <c r="E3" s="8" t="s">
        <v>58</v>
      </c>
      <c r="G3" s="115" t="s">
        <v>216</v>
      </c>
      <c r="H3" s="8" t="s">
        <v>217</v>
      </c>
      <c r="I3" s="8" t="s">
        <v>65</v>
      </c>
      <c r="J3" s="8" t="s">
        <v>58</v>
      </c>
      <c r="L3" s="115" t="s">
        <v>216</v>
      </c>
      <c r="M3" s="8" t="s">
        <v>217</v>
      </c>
      <c r="N3" s="8" t="s">
        <v>72</v>
      </c>
      <c r="O3" s="8" t="s">
        <v>58</v>
      </c>
    </row>
    <row r="4" spans="2:15" x14ac:dyDescent="0.25">
      <c r="B4" s="116">
        <v>1</v>
      </c>
      <c r="C4" s="127">
        <v>42094</v>
      </c>
      <c r="D4" s="128">
        <f t="array" ref="D4:D13">TRANSPOSE('Data Sheet'!B17:K17)</f>
        <v>3394.14</v>
      </c>
      <c r="E4" s="73" t="s">
        <v>59</v>
      </c>
      <c r="G4" s="116">
        <v>1</v>
      </c>
      <c r="H4" s="127">
        <v>42094</v>
      </c>
      <c r="I4" s="128">
        <f t="array" ref="I4:I13">TRANSPOSE('Historical''FS'!C18:L18)</f>
        <v>642.46999999999946</v>
      </c>
      <c r="J4" s="73" t="s">
        <v>59</v>
      </c>
      <c r="L4" s="116">
        <v>1</v>
      </c>
      <c r="M4" s="127">
        <v>42094</v>
      </c>
      <c r="N4" s="128">
        <f t="array" ref="N4:N13">TRANSPOSE('Historical''FS'!C33:L33)</f>
        <v>76.059999999999405</v>
      </c>
      <c r="O4" s="73" t="s">
        <v>59</v>
      </c>
    </row>
    <row r="5" spans="2:15" x14ac:dyDescent="0.25">
      <c r="B5" s="116">
        <f>B4+1</f>
        <v>2</v>
      </c>
      <c r="C5" s="127">
        <f>C4+365</f>
        <v>42459</v>
      </c>
      <c r="D5" s="128">
        <v>3861.18</v>
      </c>
      <c r="E5" s="28">
        <f>D5/D4-1</f>
        <v>0.13760186674680486</v>
      </c>
      <c r="G5" s="116">
        <f t="shared" ref="G5:G20" si="0">G4+1</f>
        <v>2</v>
      </c>
      <c r="H5" s="127">
        <f>H4+365</f>
        <v>42459</v>
      </c>
      <c r="I5" s="128">
        <v>809.51000000000022</v>
      </c>
      <c r="J5" s="28">
        <f>I5/I4-1</f>
        <v>0.25999657571559909</v>
      </c>
      <c r="L5" s="116">
        <f>L4+1</f>
        <v>2</v>
      </c>
      <c r="M5" s="127">
        <f>M4+365</f>
        <v>42459</v>
      </c>
      <c r="N5" s="128">
        <v>21.260000000000172</v>
      </c>
      <c r="O5" s="28">
        <f>N5/N4-1</f>
        <v>-0.72048382855639836</v>
      </c>
    </row>
    <row r="6" spans="2:15" x14ac:dyDescent="0.25">
      <c r="B6" s="116">
        <f t="shared" ref="B6:B20" si="1">B5+1</f>
        <v>3</v>
      </c>
      <c r="C6" s="127">
        <f t="shared" ref="C6:C13" si="2">C5+365</f>
        <v>42824</v>
      </c>
      <c r="D6" s="128">
        <v>4003.54</v>
      </c>
      <c r="E6" s="28">
        <f t="shared" ref="E6:E20" si="3">D6/D5-1</f>
        <v>3.6869558010763637E-2</v>
      </c>
      <c r="G6" s="116">
        <f t="shared" si="0"/>
        <v>3</v>
      </c>
      <c r="H6" s="127">
        <f t="shared" ref="H6:H20" si="4">H5+365</f>
        <v>42824</v>
      </c>
      <c r="I6" s="128">
        <v>838.33</v>
      </c>
      <c r="J6" s="28">
        <f t="shared" ref="J6:J20" si="5">I6/I5-1</f>
        <v>3.5601783795135011E-2</v>
      </c>
      <c r="L6" s="116">
        <f t="shared" ref="L6:L20" si="6">L5+1</f>
        <v>3</v>
      </c>
      <c r="M6" s="127">
        <f t="shared" ref="M6:M20" si="7">M5+365</f>
        <v>42824</v>
      </c>
      <c r="N6" s="128">
        <v>200.20000000000002</v>
      </c>
      <c r="O6" s="28">
        <f t="shared" ref="O6:O20" si="8">N6/N5-1</f>
        <v>8.4167450611476191</v>
      </c>
    </row>
    <row r="7" spans="2:15" x14ac:dyDescent="0.25">
      <c r="B7" s="116">
        <f t="shared" si="1"/>
        <v>4</v>
      </c>
      <c r="C7" s="127">
        <f t="shared" si="2"/>
        <v>43189</v>
      </c>
      <c r="D7" s="128">
        <v>5105.26</v>
      </c>
      <c r="E7" s="28">
        <f t="shared" si="3"/>
        <v>0.27518645998291524</v>
      </c>
      <c r="G7" s="116">
        <f t="shared" si="0"/>
        <v>4</v>
      </c>
      <c r="H7" s="127">
        <f t="shared" si="4"/>
        <v>43189</v>
      </c>
      <c r="I7" s="128">
        <v>1035.8000000000002</v>
      </c>
      <c r="J7" s="28">
        <f t="shared" si="5"/>
        <v>0.23555163241205745</v>
      </c>
      <c r="L7" s="116">
        <f t="shared" si="6"/>
        <v>4</v>
      </c>
      <c r="M7" s="127">
        <f t="shared" si="7"/>
        <v>43189</v>
      </c>
      <c r="N7" s="128">
        <v>294.00000000000017</v>
      </c>
      <c r="O7" s="28">
        <f t="shared" si="8"/>
        <v>0.46853146853146921</v>
      </c>
    </row>
    <row r="8" spans="2:15" x14ac:dyDescent="0.25">
      <c r="B8" s="116">
        <f t="shared" si="1"/>
        <v>5</v>
      </c>
      <c r="C8" s="127">
        <f t="shared" si="2"/>
        <v>43554</v>
      </c>
      <c r="D8" s="128">
        <v>7129.58</v>
      </c>
      <c r="E8" s="28">
        <f t="shared" si="3"/>
        <v>0.39651653392775277</v>
      </c>
      <c r="G8" s="116">
        <f t="shared" si="0"/>
        <v>5</v>
      </c>
      <c r="H8" s="127">
        <f t="shared" si="4"/>
        <v>43554</v>
      </c>
      <c r="I8" s="128">
        <v>1462.32</v>
      </c>
      <c r="J8" s="28">
        <f t="shared" si="5"/>
        <v>0.41177833558602006</v>
      </c>
      <c r="L8" s="116">
        <f t="shared" si="6"/>
        <v>5</v>
      </c>
      <c r="M8" s="127">
        <f t="shared" si="7"/>
        <v>43554</v>
      </c>
      <c r="N8" s="128">
        <v>425.30999999999989</v>
      </c>
      <c r="O8" s="28">
        <f t="shared" si="8"/>
        <v>0.44663265306122324</v>
      </c>
    </row>
    <row r="9" spans="2:15" x14ac:dyDescent="0.25">
      <c r="B9" s="116">
        <f t="shared" si="1"/>
        <v>6</v>
      </c>
      <c r="C9" s="127">
        <f t="shared" si="2"/>
        <v>43919</v>
      </c>
      <c r="D9" s="128">
        <v>6450.14</v>
      </c>
      <c r="E9" s="28">
        <f t="shared" si="3"/>
        <v>-9.5298741300329004E-2</v>
      </c>
      <c r="G9" s="116">
        <f t="shared" si="0"/>
        <v>6</v>
      </c>
      <c r="H9" s="127">
        <f t="shared" si="4"/>
        <v>43919</v>
      </c>
      <c r="I9" s="128">
        <v>1214.9600000000003</v>
      </c>
      <c r="J9" s="28">
        <f t="shared" si="5"/>
        <v>-0.16915586191804777</v>
      </c>
      <c r="L9" s="116">
        <f t="shared" si="6"/>
        <v>6</v>
      </c>
      <c r="M9" s="127">
        <f t="shared" si="7"/>
        <v>43919</v>
      </c>
      <c r="N9" s="128">
        <v>387.29000000000019</v>
      </c>
      <c r="O9" s="28">
        <f t="shared" si="8"/>
        <v>-8.9393618772188987E-2</v>
      </c>
    </row>
    <row r="10" spans="2:15" x14ac:dyDescent="0.25">
      <c r="B10" s="116">
        <f t="shared" si="1"/>
        <v>7</v>
      </c>
      <c r="C10" s="127">
        <f t="shared" si="2"/>
        <v>44284</v>
      </c>
      <c r="D10" s="128">
        <v>8823.23</v>
      </c>
      <c r="E10" s="28">
        <f t="shared" si="3"/>
        <v>0.36791294452523493</v>
      </c>
      <c r="G10" s="116">
        <f t="shared" si="0"/>
        <v>7</v>
      </c>
      <c r="H10" s="127">
        <f t="shared" si="4"/>
        <v>44284</v>
      </c>
      <c r="I10" s="128">
        <v>1693.9499999999987</v>
      </c>
      <c r="J10" s="28">
        <f t="shared" si="5"/>
        <v>0.39424343188252964</v>
      </c>
      <c r="L10" s="116">
        <f t="shared" si="6"/>
        <v>7</v>
      </c>
      <c r="M10" s="127">
        <f t="shared" si="7"/>
        <v>44284</v>
      </c>
      <c r="N10" s="128">
        <v>695.16999999999871</v>
      </c>
      <c r="O10" s="28">
        <f t="shared" si="8"/>
        <v>0.79495984920859919</v>
      </c>
    </row>
    <row r="11" spans="2:15" x14ac:dyDescent="0.25">
      <c r="B11" s="116">
        <f t="shared" si="1"/>
        <v>8</v>
      </c>
      <c r="C11" s="127">
        <f t="shared" si="2"/>
        <v>44649</v>
      </c>
      <c r="D11" s="128">
        <v>13173.14</v>
      </c>
      <c r="E11" s="28">
        <f t="shared" si="3"/>
        <v>0.49300652935489619</v>
      </c>
      <c r="G11" s="116">
        <f t="shared" si="0"/>
        <v>8</v>
      </c>
      <c r="H11" s="127">
        <f t="shared" si="4"/>
        <v>44649</v>
      </c>
      <c r="I11" s="128">
        <v>2862.9999999999982</v>
      </c>
      <c r="J11" s="28">
        <f t="shared" si="5"/>
        <v>0.69013253047610634</v>
      </c>
      <c r="L11" s="116">
        <f t="shared" si="6"/>
        <v>8</v>
      </c>
      <c r="M11" s="127">
        <f t="shared" si="7"/>
        <v>44649</v>
      </c>
      <c r="N11" s="128">
        <v>1568.189999999998</v>
      </c>
      <c r="O11" s="28">
        <f t="shared" si="8"/>
        <v>1.255836701813946</v>
      </c>
    </row>
    <row r="12" spans="2:15" x14ac:dyDescent="0.25">
      <c r="B12" s="116">
        <f t="shared" si="1"/>
        <v>9</v>
      </c>
      <c r="C12" s="127">
        <f t="shared" si="2"/>
        <v>45014</v>
      </c>
      <c r="D12" s="128">
        <v>16042.58</v>
      </c>
      <c r="E12" s="28">
        <f t="shared" si="3"/>
        <v>0.21782505917343942</v>
      </c>
      <c r="G12" s="116">
        <f t="shared" si="0"/>
        <v>9</v>
      </c>
      <c r="H12" s="127">
        <f t="shared" si="4"/>
        <v>45014</v>
      </c>
      <c r="I12" s="128">
        <v>3716.74</v>
      </c>
      <c r="J12" s="28">
        <f t="shared" si="5"/>
        <v>0.29819769472581292</v>
      </c>
      <c r="L12" s="116">
        <f t="shared" si="6"/>
        <v>9</v>
      </c>
      <c r="M12" s="127">
        <f t="shared" si="7"/>
        <v>45014</v>
      </c>
      <c r="N12" s="128">
        <v>2106.6799999999994</v>
      </c>
      <c r="O12" s="28">
        <f t="shared" si="8"/>
        <v>0.34338313597204562</v>
      </c>
    </row>
    <row r="13" spans="2:15" x14ac:dyDescent="0.25">
      <c r="B13" s="116">
        <f t="shared" si="1"/>
        <v>10</v>
      </c>
      <c r="C13" s="127">
        <f t="shared" si="2"/>
        <v>45379</v>
      </c>
      <c r="D13" s="128">
        <v>20007.650000000001</v>
      </c>
      <c r="E13" s="28">
        <f t="shared" si="3"/>
        <v>0.24715912278448982</v>
      </c>
      <c r="G13" s="135">
        <f t="shared" si="0"/>
        <v>10</v>
      </c>
      <c r="H13" s="127">
        <f t="shared" si="4"/>
        <v>45379</v>
      </c>
      <c r="I13" s="136">
        <v>4814.9400000000005</v>
      </c>
      <c r="J13" s="36">
        <f t="shared" si="5"/>
        <v>0.2954739906477184</v>
      </c>
      <c r="K13" s="12"/>
      <c r="L13" s="135">
        <f t="shared" si="6"/>
        <v>10</v>
      </c>
      <c r="M13" s="127">
        <f t="shared" si="7"/>
        <v>45379</v>
      </c>
      <c r="N13" s="136">
        <v>2585.8900000000003</v>
      </c>
      <c r="O13" s="36">
        <f t="shared" si="8"/>
        <v>0.22747166157176268</v>
      </c>
    </row>
    <row r="14" spans="2:15" x14ac:dyDescent="0.25">
      <c r="B14" s="132">
        <f t="shared" si="1"/>
        <v>11</v>
      </c>
      <c r="C14" s="133">
        <f t="shared" ref="C14:C20" si="9">C13+365</f>
        <v>45744</v>
      </c>
      <c r="D14" s="130">
        <f>FORECAST(B14,$D$4:$D$13,$B$4:$B$13)</f>
        <v>18502.839333333337</v>
      </c>
      <c r="E14" s="134">
        <f t="shared" si="3"/>
        <v>-7.5211764833284511E-2</v>
      </c>
      <c r="G14" s="129">
        <f t="shared" si="0"/>
        <v>11</v>
      </c>
      <c r="H14" s="133">
        <f t="shared" si="4"/>
        <v>45744</v>
      </c>
      <c r="I14" s="130">
        <f>FORECAST(G14,$I$4:$I$13,$G$4:$G$13)</f>
        <v>4234.3113333333331</v>
      </c>
      <c r="J14" s="131">
        <f t="shared" si="5"/>
        <v>-0.12058897237902599</v>
      </c>
      <c r="L14" s="129">
        <f t="shared" si="6"/>
        <v>11</v>
      </c>
      <c r="M14" s="133">
        <f t="shared" si="7"/>
        <v>45744</v>
      </c>
      <c r="N14" s="130">
        <f>FORECAST(L14,$N$4:$N$13,$L$4:$L$13)</f>
        <v>2342.3999999999992</v>
      </c>
      <c r="O14" s="131">
        <f t="shared" si="8"/>
        <v>-9.4161004528422021E-2</v>
      </c>
    </row>
    <row r="15" spans="2:15" x14ac:dyDescent="0.25">
      <c r="B15" s="132">
        <f t="shared" si="1"/>
        <v>12</v>
      </c>
      <c r="C15" s="133">
        <f t="shared" si="9"/>
        <v>46109</v>
      </c>
      <c r="D15" s="130">
        <f t="shared" ref="D15:D20" si="10">FORECAST(B15,$D$4:$D$13,$B$4:$B$13)</f>
        <v>20267.165757575756</v>
      </c>
      <c r="E15" s="134">
        <f t="shared" si="3"/>
        <v>9.5354361158178635E-2</v>
      </c>
      <c r="G15" s="129">
        <f t="shared" si="0"/>
        <v>12</v>
      </c>
      <c r="H15" s="133">
        <f t="shared" si="4"/>
        <v>46109</v>
      </c>
      <c r="I15" s="130">
        <f t="shared" ref="I15:I20" si="11">FORECAST(G15,$I$4:$I$13,$G$4:$G$13)</f>
        <v>4657.058484848485</v>
      </c>
      <c r="J15" s="131">
        <f t="shared" si="5"/>
        <v>9.9838466809750948E-2</v>
      </c>
      <c r="L15" s="129">
        <f t="shared" si="6"/>
        <v>12</v>
      </c>
      <c r="M15" s="133">
        <f t="shared" si="7"/>
        <v>46109</v>
      </c>
      <c r="N15" s="130">
        <f t="shared" ref="N15:N20" si="12">FORECAST(L15,$N$4:$N$13,$L$4:$L$13)</f>
        <v>2616.2899999999995</v>
      </c>
      <c r="O15" s="131">
        <f t="shared" si="8"/>
        <v>0.11692708333333357</v>
      </c>
    </row>
    <row r="16" spans="2:15" x14ac:dyDescent="0.25">
      <c r="B16" s="132">
        <f t="shared" si="1"/>
        <v>13</v>
      </c>
      <c r="C16" s="133">
        <f t="shared" si="9"/>
        <v>46474</v>
      </c>
      <c r="D16" s="130">
        <f t="shared" si="10"/>
        <v>22031.492181818183</v>
      </c>
      <c r="E16" s="134">
        <f t="shared" si="3"/>
        <v>8.7053436348539792E-2</v>
      </c>
      <c r="G16" s="129">
        <f t="shared" si="0"/>
        <v>13</v>
      </c>
      <c r="H16" s="133">
        <f t="shared" si="4"/>
        <v>46474</v>
      </c>
      <c r="I16" s="130">
        <f t="shared" si="11"/>
        <v>5079.805636363636</v>
      </c>
      <c r="J16" s="131">
        <f t="shared" si="5"/>
        <v>9.0775572797837656E-2</v>
      </c>
      <c r="L16" s="129">
        <f t="shared" si="6"/>
        <v>13</v>
      </c>
      <c r="M16" s="133">
        <f t="shared" si="7"/>
        <v>46474</v>
      </c>
      <c r="N16" s="130">
        <f t="shared" si="12"/>
        <v>2890.1799999999994</v>
      </c>
      <c r="O16" s="131">
        <f t="shared" si="8"/>
        <v>0.10468640708789922</v>
      </c>
    </row>
    <row r="17" spans="2:15" x14ac:dyDescent="0.25">
      <c r="B17" s="132">
        <f t="shared" si="1"/>
        <v>14</v>
      </c>
      <c r="C17" s="133">
        <f t="shared" si="9"/>
        <v>46839</v>
      </c>
      <c r="D17" s="130">
        <f t="shared" si="10"/>
        <v>23795.818606060609</v>
      </c>
      <c r="E17" s="134">
        <f t="shared" si="3"/>
        <v>8.008202121227459E-2</v>
      </c>
      <c r="G17" s="129">
        <f t="shared" si="0"/>
        <v>14</v>
      </c>
      <c r="H17" s="133">
        <f t="shared" si="4"/>
        <v>46839</v>
      </c>
      <c r="I17" s="130">
        <f t="shared" si="11"/>
        <v>5502.552787878788</v>
      </c>
      <c r="J17" s="131">
        <f t="shared" si="5"/>
        <v>8.3221127298440223E-2</v>
      </c>
      <c r="L17" s="129">
        <f t="shared" si="6"/>
        <v>14</v>
      </c>
      <c r="M17" s="133">
        <f t="shared" si="7"/>
        <v>46839</v>
      </c>
      <c r="N17" s="130">
        <f t="shared" si="12"/>
        <v>3164.0699999999993</v>
      </c>
      <c r="O17" s="131">
        <f t="shared" si="8"/>
        <v>9.4765723934149504E-2</v>
      </c>
    </row>
    <row r="18" spans="2:15" x14ac:dyDescent="0.25">
      <c r="B18" s="132">
        <f t="shared" si="1"/>
        <v>15</v>
      </c>
      <c r="C18" s="133">
        <f t="shared" si="9"/>
        <v>47204</v>
      </c>
      <c r="D18" s="130">
        <f t="shared" si="10"/>
        <v>25560.145030303036</v>
      </c>
      <c r="E18" s="134">
        <f t="shared" si="3"/>
        <v>7.4144388703361042E-2</v>
      </c>
      <c r="G18" s="129">
        <f t="shared" si="0"/>
        <v>15</v>
      </c>
      <c r="H18" s="133">
        <f t="shared" si="4"/>
        <v>47204</v>
      </c>
      <c r="I18" s="130">
        <f t="shared" si="11"/>
        <v>5925.299939393939</v>
      </c>
      <c r="J18" s="131">
        <f t="shared" si="5"/>
        <v>7.682745951050074E-2</v>
      </c>
      <c r="L18" s="129">
        <f t="shared" si="6"/>
        <v>15</v>
      </c>
      <c r="M18" s="133">
        <f t="shared" si="7"/>
        <v>47204</v>
      </c>
      <c r="N18" s="130">
        <f t="shared" si="12"/>
        <v>3437.9599999999987</v>
      </c>
      <c r="O18" s="131">
        <f t="shared" si="8"/>
        <v>8.6562560246770559E-2</v>
      </c>
    </row>
    <row r="19" spans="2:15" x14ac:dyDescent="0.25">
      <c r="B19" s="132">
        <f t="shared" si="1"/>
        <v>16</v>
      </c>
      <c r="C19" s="133">
        <f t="shared" si="9"/>
        <v>47569</v>
      </c>
      <c r="D19" s="130">
        <f t="shared" si="10"/>
        <v>27324.471454545455</v>
      </c>
      <c r="E19" s="134">
        <f t="shared" si="3"/>
        <v>6.9026463744658262E-2</v>
      </c>
      <c r="G19" s="129">
        <f t="shared" si="0"/>
        <v>16</v>
      </c>
      <c r="H19" s="133">
        <f t="shared" si="4"/>
        <v>47569</v>
      </c>
      <c r="I19" s="130">
        <f t="shared" si="11"/>
        <v>6348.0470909090909</v>
      </c>
      <c r="J19" s="131">
        <f t="shared" si="5"/>
        <v>7.1346118481622645E-2</v>
      </c>
      <c r="L19" s="129">
        <f t="shared" si="6"/>
        <v>16</v>
      </c>
      <c r="M19" s="133">
        <f t="shared" si="7"/>
        <v>47569</v>
      </c>
      <c r="N19" s="130">
        <f t="shared" si="12"/>
        <v>3711.849999999999</v>
      </c>
      <c r="O19" s="131">
        <f t="shared" si="8"/>
        <v>7.966643009226404E-2</v>
      </c>
    </row>
    <row r="20" spans="2:15" x14ac:dyDescent="0.25">
      <c r="B20" s="132">
        <f t="shared" si="1"/>
        <v>17</v>
      </c>
      <c r="C20" s="133">
        <f t="shared" si="9"/>
        <v>47934</v>
      </c>
      <c r="D20" s="130">
        <f t="shared" si="10"/>
        <v>29088.797878787882</v>
      </c>
      <c r="E20" s="134">
        <f t="shared" si="3"/>
        <v>6.4569462109355102E-2</v>
      </c>
      <c r="G20" s="129">
        <f t="shared" si="0"/>
        <v>17</v>
      </c>
      <c r="H20" s="133">
        <f t="shared" si="4"/>
        <v>47934</v>
      </c>
      <c r="I20" s="130">
        <f t="shared" si="11"/>
        <v>6770.7942424242428</v>
      </c>
      <c r="J20" s="131">
        <f t="shared" si="5"/>
        <v>6.659483546058742E-2</v>
      </c>
      <c r="L20" s="129">
        <f t="shared" si="6"/>
        <v>17</v>
      </c>
      <c r="M20" s="133">
        <f t="shared" si="7"/>
        <v>47934</v>
      </c>
      <c r="N20" s="130">
        <f t="shared" si="12"/>
        <v>3985.7399999999993</v>
      </c>
      <c r="O20" s="131">
        <f t="shared" si="8"/>
        <v>7.378800328677082E-2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L43"/>
  <sheetViews>
    <sheetView showGridLines="0" zoomScale="86" zoomScaleNormal="86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5" x14ac:dyDescent="0.25"/>
  <cols>
    <col min="1" max="1" width="1.85546875" customWidth="1"/>
    <col min="2" max="2" width="44.42578125" customWidth="1"/>
    <col min="3" max="3" width="10.28515625" bestFit="1" customWidth="1"/>
    <col min="4" max="4" width="17" customWidth="1"/>
    <col min="5" max="5" width="11.42578125" bestFit="1" customWidth="1"/>
    <col min="6" max="6" width="12" bestFit="1" customWidth="1"/>
    <col min="8" max="8" width="16.5703125" customWidth="1"/>
    <col min="9" max="9" width="15.140625" customWidth="1"/>
    <col min="10" max="11" width="12.7109375" bestFit="1" customWidth="1"/>
    <col min="12" max="12" width="22.5703125" bestFit="1" customWidth="1"/>
  </cols>
  <sheetData>
    <row r="1" spans="1:12" s="12" customFormat="1" x14ac:dyDescent="0.25">
      <c r="A1"/>
      <c r="B1"/>
      <c r="C1"/>
      <c r="D1"/>
      <c r="E1"/>
      <c r="F1"/>
      <c r="G1"/>
      <c r="H1"/>
      <c r="I1"/>
      <c r="J1"/>
      <c r="K1"/>
    </row>
    <row r="2" spans="1:12" s="140" customFormat="1" ht="18.75" x14ac:dyDescent="0.3">
      <c r="A2" s="138"/>
      <c r="B2" s="139" t="str">
        <f>"Weighted Average Cost of Capital"&amp;" - "&amp;'Data Sheet'!B1</f>
        <v>Weighted Average Cost of Capital - VARUN BEVERAGES LTD</v>
      </c>
      <c r="C2" s="138"/>
      <c r="D2" s="138"/>
      <c r="E2" s="138"/>
      <c r="F2" s="138"/>
      <c r="G2" s="138"/>
      <c r="H2" s="138"/>
      <c r="I2" s="138"/>
      <c r="J2" s="138"/>
      <c r="K2" s="138"/>
    </row>
    <row r="3" spans="1:12" s="12" customFormat="1" x14ac:dyDescent="0.25">
      <c r="A3"/>
      <c r="B3"/>
      <c r="C3"/>
      <c r="D3"/>
      <c r="E3"/>
      <c r="F3"/>
      <c r="G3"/>
      <c r="H3"/>
      <c r="I3"/>
      <c r="J3"/>
      <c r="K3"/>
    </row>
    <row r="4" spans="1:12" s="142" customFormat="1" x14ac:dyDescent="0.25">
      <c r="A4" s="141"/>
      <c r="B4" s="141" t="s">
        <v>242</v>
      </c>
      <c r="C4" s="141"/>
      <c r="D4" s="141"/>
      <c r="E4" s="141"/>
      <c r="F4" s="141"/>
      <c r="G4" s="141"/>
      <c r="H4" s="141"/>
      <c r="I4" s="141"/>
      <c r="J4" s="141"/>
      <c r="K4" s="141"/>
    </row>
    <row r="5" spans="1:12" s="12" customFormat="1" x14ac:dyDescent="0.25">
      <c r="A5"/>
      <c r="B5"/>
      <c r="C5"/>
      <c r="D5"/>
      <c r="E5"/>
      <c r="F5"/>
      <c r="G5"/>
      <c r="H5"/>
      <c r="I5"/>
      <c r="J5"/>
      <c r="K5"/>
    </row>
    <row r="6" spans="1:12" s="12" customFormat="1" x14ac:dyDescent="0.25">
      <c r="A6"/>
      <c r="B6" s="30" t="s">
        <v>243</v>
      </c>
      <c r="C6"/>
      <c r="D6"/>
      <c r="E6"/>
      <c r="F6"/>
      <c r="G6"/>
      <c r="H6"/>
      <c r="I6"/>
      <c r="J6"/>
      <c r="K6"/>
    </row>
    <row r="7" spans="1:12" s="12" customFormat="1" x14ac:dyDescent="0.25">
      <c r="A7"/>
      <c r="B7" s="143"/>
      <c r="C7" s="143"/>
      <c r="D7" s="143"/>
      <c r="E7" s="143"/>
      <c r="F7" s="143"/>
      <c r="G7" s="143"/>
      <c r="H7" s="144" t="s">
        <v>244</v>
      </c>
      <c r="I7" s="144" t="s">
        <v>244</v>
      </c>
      <c r="J7" s="144" t="s">
        <v>245</v>
      </c>
      <c r="K7" s="144" t="s">
        <v>246</v>
      </c>
      <c r="L7" s="123"/>
    </row>
    <row r="8" spans="1:12" s="12" customFormat="1" ht="17.25" x14ac:dyDescent="0.25">
      <c r="A8"/>
      <c r="B8" s="88" t="s">
        <v>247</v>
      </c>
      <c r="C8" s="88"/>
      <c r="D8" s="88" t="s">
        <v>248</v>
      </c>
      <c r="E8" s="88" t="s">
        <v>249</v>
      </c>
      <c r="F8" s="88" t="s">
        <v>250</v>
      </c>
      <c r="G8" s="88" t="s">
        <v>251</v>
      </c>
      <c r="H8" s="145" t="s">
        <v>252</v>
      </c>
      <c r="I8" s="145" t="s">
        <v>253</v>
      </c>
      <c r="J8" s="145" t="s">
        <v>254</v>
      </c>
      <c r="K8" s="145" t="s">
        <v>255</v>
      </c>
      <c r="L8" s="146"/>
    </row>
    <row r="9" spans="1:12" s="12" customFormat="1" x14ac:dyDescent="0.25">
      <c r="A9"/>
      <c r="B9" s="39"/>
      <c r="C9" s="39"/>
      <c r="D9" s="39"/>
      <c r="E9" s="39"/>
      <c r="F9" s="39"/>
      <c r="G9" s="39"/>
      <c r="H9" s="194"/>
      <c r="I9" s="194"/>
      <c r="J9" s="194"/>
      <c r="K9" s="194"/>
      <c r="L9" s="146"/>
    </row>
    <row r="10" spans="1:12" s="12" customFormat="1" x14ac:dyDescent="0.25">
      <c r="A10"/>
      <c r="B10" s="147" t="s">
        <v>311</v>
      </c>
      <c r="C10" s="147"/>
      <c r="D10" s="147" t="s">
        <v>256</v>
      </c>
      <c r="E10">
        <f>DataBetaComps!F3</f>
        <v>2826.25</v>
      </c>
      <c r="F10">
        <f>DataBetaComps!E3</f>
        <v>152947.19</v>
      </c>
      <c r="G10" s="148">
        <v>0.3</v>
      </c>
      <c r="H10" s="149">
        <f t="shared" ref="H10:H14" si="0">E10/F10</f>
        <v>1.8478600358725127E-2</v>
      </c>
      <c r="I10" s="149">
        <f t="shared" ref="I10:I14" si="1">E10/SUM(E10+F10)</f>
        <v>1.8143336887212608E-2</v>
      </c>
      <c r="J10" s="172">
        <f>'Beta - Regression'!O6</f>
        <v>1.1557800962615201</v>
      </c>
      <c r="K10" s="150">
        <f>J10/1+(1-G10)*H10</f>
        <v>1.1687151165126277</v>
      </c>
    </row>
    <row r="11" spans="1:12" s="12" customFormat="1" x14ac:dyDescent="0.25">
      <c r="A11"/>
      <c r="B11" s="147" t="s">
        <v>312</v>
      </c>
      <c r="C11" s="147"/>
      <c r="D11" s="147" t="s">
        <v>256</v>
      </c>
      <c r="E11">
        <f>DataBetaComps!F4</f>
        <v>2392.6799999999998</v>
      </c>
      <c r="F11">
        <f>DataBetaComps!E4</f>
        <v>106655.84</v>
      </c>
      <c r="G11" s="148">
        <v>0.3</v>
      </c>
      <c r="H11" s="149">
        <f t="shared" si="0"/>
        <v>2.2433652015679591E-2</v>
      </c>
      <c r="I11" s="149">
        <f t="shared" si="1"/>
        <v>2.1941425706648747E-2</v>
      </c>
      <c r="J11" s="172">
        <f>'Beta - Regression'!AL6</f>
        <v>1.1407188957372039</v>
      </c>
      <c r="K11" s="150">
        <f t="shared" ref="K11:K14" si="2">J11/1+(1-G11)*H11</f>
        <v>1.1564224521481796</v>
      </c>
    </row>
    <row r="12" spans="1:12" s="12" customFormat="1" x14ac:dyDescent="0.25">
      <c r="A12"/>
      <c r="B12" s="193" t="s">
        <v>281</v>
      </c>
      <c r="C12" s="147"/>
      <c r="D12" s="147" t="s">
        <v>256</v>
      </c>
      <c r="E12">
        <f>DataBetaComps!F5</f>
        <v>1166.8499999999999</v>
      </c>
      <c r="F12">
        <f>DataBetaComps!E5</f>
        <v>231768.95</v>
      </c>
      <c r="G12" s="148">
        <v>0.3</v>
      </c>
      <c r="H12" s="149">
        <f t="shared" si="0"/>
        <v>5.0345397862828472E-3</v>
      </c>
      <c r="I12" s="149">
        <f t="shared" si="1"/>
        <v>5.0093201646118791E-3</v>
      </c>
      <c r="J12" s="172">
        <f>'Beta - Regression'!BI6</f>
        <v>7.0206826935484953E-2</v>
      </c>
      <c r="K12" s="150">
        <f t="shared" si="2"/>
        <v>7.3731004785882945E-2</v>
      </c>
    </row>
    <row r="13" spans="1:12" s="12" customFormat="1" x14ac:dyDescent="0.25">
      <c r="A13"/>
      <c r="B13" s="193" t="s">
        <v>313</v>
      </c>
      <c r="C13" s="147"/>
      <c r="D13" s="147" t="s">
        <v>256</v>
      </c>
      <c r="E13">
        <f>DataBetaComps!F6</f>
        <v>2566.2600000000002</v>
      </c>
      <c r="F13">
        <f>DataBetaComps!E6</f>
        <v>21149.66</v>
      </c>
      <c r="G13" s="148">
        <v>0.3</v>
      </c>
      <c r="H13" s="149">
        <f t="shared" si="0"/>
        <v>0.12133812080194198</v>
      </c>
      <c r="I13" s="149">
        <f t="shared" si="1"/>
        <v>0.10820832588404752</v>
      </c>
      <c r="J13" s="172">
        <f>'Beta - Regression'!CF6</f>
        <v>0.71108948127497917</v>
      </c>
      <c r="K13" s="150">
        <f t="shared" si="2"/>
        <v>0.79602616583633856</v>
      </c>
    </row>
    <row r="14" spans="1:12" s="12" customFormat="1" x14ac:dyDescent="0.25">
      <c r="A14"/>
      <c r="B14" s="193" t="s">
        <v>282</v>
      </c>
      <c r="C14" s="147"/>
      <c r="D14" s="147" t="s">
        <v>256</v>
      </c>
      <c r="E14">
        <f>DataBetaComps!F8</f>
        <v>950.37</v>
      </c>
      <c r="F14">
        <f>DataBetaComps!E8</f>
        <v>94165.35</v>
      </c>
      <c r="G14" s="148">
        <v>0.3</v>
      </c>
      <c r="H14" s="149">
        <f t="shared" si="0"/>
        <v>1.0092565896054121E-2</v>
      </c>
      <c r="I14" s="149">
        <f t="shared" si="1"/>
        <v>9.9917237655352872E-3</v>
      </c>
      <c r="J14" s="172">
        <f>'Beta - Regression'!DY6</f>
        <v>0.56209807040034143</v>
      </c>
      <c r="K14" s="150">
        <f t="shared" si="2"/>
        <v>0.5691628665275793</v>
      </c>
    </row>
    <row r="15" spans="1:12" s="12" customFormat="1" x14ac:dyDescent="0.25">
      <c r="A15"/>
      <c r="B15"/>
      <c r="C15"/>
      <c r="D15"/>
      <c r="E15"/>
      <c r="F15"/>
      <c r="G15"/>
      <c r="H15"/>
      <c r="I15"/>
      <c r="J15"/>
      <c r="K15"/>
    </row>
    <row r="16" spans="1:12" s="12" customFormat="1" x14ac:dyDescent="0.25">
      <c r="A16"/>
      <c r="B16"/>
      <c r="C16"/>
      <c r="D16"/>
      <c r="F16" s="143" t="s">
        <v>257</v>
      </c>
      <c r="G16" s="151">
        <f>AVERAGE(G10:G14)</f>
        <v>0.3</v>
      </c>
      <c r="H16" s="151">
        <f>AVERAGE(H10:H14)</f>
        <v>3.5475495771736733E-2</v>
      </c>
      <c r="I16" s="151">
        <f>AVERAGE(I10:I14)</f>
        <v>3.2658826481611211E-2</v>
      </c>
      <c r="J16" s="152">
        <f>AVERAGE(J10:J14)</f>
        <v>0.72797867412190587</v>
      </c>
      <c r="K16" s="152">
        <f>AVERAGE(K10:K14)</f>
        <v>0.75281152116212158</v>
      </c>
    </row>
    <row r="17" spans="1:11" s="12" customFormat="1" x14ac:dyDescent="0.25">
      <c r="A17"/>
      <c r="B17"/>
      <c r="C17"/>
      <c r="D17"/>
      <c r="F17" s="88" t="s">
        <v>162</v>
      </c>
      <c r="G17" s="153">
        <f>MEDIAN(G10:G14)</f>
        <v>0.3</v>
      </c>
      <c r="H17" s="153">
        <f>MEDIAN(H10:H14)</f>
        <v>1.8478600358725127E-2</v>
      </c>
      <c r="I17" s="153">
        <f>MEDIAN(I10:I14)</f>
        <v>1.8143336887212608E-2</v>
      </c>
      <c r="J17" s="154">
        <f>MEDIAN(J10:J14)</f>
        <v>0.71108948127497917</v>
      </c>
      <c r="K17" s="154">
        <f>MEDIAN(K10:K14)</f>
        <v>0.79602616583633856</v>
      </c>
    </row>
    <row r="18" spans="1:11" s="12" customFormat="1" x14ac:dyDescent="0.25">
      <c r="A18"/>
      <c r="B18"/>
      <c r="C18"/>
      <c r="D18"/>
      <c r="E18"/>
      <c r="F18"/>
      <c r="G18"/>
      <c r="H18"/>
      <c r="I18"/>
      <c r="J18"/>
      <c r="K18"/>
    </row>
    <row r="19" spans="1:11" s="12" customFormat="1" x14ac:dyDescent="0.25">
      <c r="A19"/>
      <c r="B19"/>
      <c r="C19"/>
      <c r="D19"/>
      <c r="E19"/>
      <c r="F19"/>
      <c r="G19"/>
      <c r="H19"/>
      <c r="I19"/>
      <c r="J19"/>
      <c r="K19"/>
    </row>
    <row r="20" spans="1:11" s="12" customFormat="1" x14ac:dyDescent="0.25">
      <c r="A20"/>
      <c r="B20" s="155" t="s">
        <v>258</v>
      </c>
      <c r="C20" s="88"/>
      <c r="D20" s="88"/>
      <c r="E20" s="88"/>
      <c r="F20"/>
      <c r="G20" s="155" t="s">
        <v>259</v>
      </c>
      <c r="H20" s="88"/>
      <c r="I20" s="88"/>
      <c r="J20" s="88"/>
      <c r="K20" s="88"/>
    </row>
    <row r="21" spans="1:11" s="12" customFormat="1" x14ac:dyDescent="0.25">
      <c r="A21"/>
      <c r="B21"/>
      <c r="C21"/>
      <c r="D21"/>
      <c r="E21"/>
      <c r="F21"/>
      <c r="G21"/>
      <c r="H21"/>
      <c r="I21"/>
      <c r="J21"/>
      <c r="K21"/>
    </row>
    <row r="22" spans="1:11" s="12" customFormat="1" x14ac:dyDescent="0.25">
      <c r="A22"/>
      <c r="B22" t="s">
        <v>260</v>
      </c>
      <c r="C22"/>
      <c r="D22"/>
      <c r="E22" s="157">
        <f>'Data Sheet'!K27/DataBetaComps!F3</f>
        <v>0.1708482972136223</v>
      </c>
      <c r="F22"/>
      <c r="G22" t="s">
        <v>261</v>
      </c>
      <c r="H22"/>
      <c r="I22"/>
      <c r="J22"/>
      <c r="K22" s="156">
        <v>6.3039999999999999E-2</v>
      </c>
    </row>
    <row r="23" spans="1:11" s="12" customFormat="1" x14ac:dyDescent="0.25">
      <c r="A23"/>
      <c r="B23" t="s">
        <v>262</v>
      </c>
      <c r="C23"/>
      <c r="D23"/>
      <c r="E23" s="157">
        <f>G17</f>
        <v>0.3</v>
      </c>
      <c r="F23"/>
      <c r="G23" t="s">
        <v>263</v>
      </c>
      <c r="H23"/>
      <c r="I23"/>
      <c r="J23"/>
      <c r="K23" s="157">
        <f>RM!H8-K22</f>
        <v>9.0307999999999986E-2</v>
      </c>
    </row>
    <row r="24" spans="1:11" s="12" customFormat="1" ht="17.25" x14ac:dyDescent="0.25">
      <c r="A24"/>
      <c r="B24" s="49" t="s">
        <v>264</v>
      </c>
      <c r="C24" s="49"/>
      <c r="D24" s="49"/>
      <c r="E24" s="158">
        <f>E22*(1-E23)</f>
        <v>0.11959380804953559</v>
      </c>
      <c r="F24"/>
      <c r="G24" t="s">
        <v>265</v>
      </c>
      <c r="H24"/>
      <c r="I24"/>
      <c r="J24"/>
      <c r="K24" s="159">
        <f>K33</f>
        <v>0.80651662949741398</v>
      </c>
    </row>
    <row r="25" spans="1:11" s="12" customFormat="1" x14ac:dyDescent="0.25">
      <c r="A25"/>
      <c r="B25"/>
      <c r="C25"/>
      <c r="D25"/>
      <c r="E25"/>
      <c r="F25"/>
      <c r="G25" s="49" t="s">
        <v>259</v>
      </c>
      <c r="H25" s="49"/>
      <c r="I25" s="49"/>
      <c r="J25" s="49"/>
      <c r="K25" s="158">
        <f>K22+K23*K24</f>
        <v>0.13587490377665246</v>
      </c>
    </row>
    <row r="26" spans="1:11" s="12" customFormat="1" x14ac:dyDescent="0.25">
      <c r="A26"/>
      <c r="B26"/>
      <c r="C26"/>
      <c r="D26"/>
      <c r="E26"/>
      <c r="F26"/>
      <c r="G26"/>
      <c r="H26"/>
      <c r="I26"/>
      <c r="J26"/>
      <c r="K26"/>
    </row>
    <row r="27" spans="1:11" s="12" customFormat="1" x14ac:dyDescent="0.25">
      <c r="A27"/>
      <c r="B27"/>
      <c r="C27"/>
      <c r="D27"/>
      <c r="E27"/>
      <c r="F27"/>
      <c r="G27"/>
      <c r="H27"/>
      <c r="I27"/>
      <c r="J27"/>
      <c r="K27"/>
    </row>
    <row r="28" spans="1:11" s="12" customFormat="1" x14ac:dyDescent="0.25">
      <c r="A28"/>
      <c r="B28" s="155" t="s">
        <v>266</v>
      </c>
      <c r="C28" s="88"/>
      <c r="D28" s="88"/>
      <c r="E28" s="88"/>
      <c r="F28"/>
      <c r="G28" s="155" t="s">
        <v>267</v>
      </c>
      <c r="H28" s="88"/>
      <c r="I28" s="88"/>
      <c r="J28" s="88"/>
      <c r="K28" s="88"/>
    </row>
    <row r="29" spans="1:11" s="12" customFormat="1" x14ac:dyDescent="0.25">
      <c r="A29"/>
      <c r="B29"/>
      <c r="C29"/>
      <c r="D29"/>
      <c r="E29"/>
      <c r="F29"/>
      <c r="G29"/>
      <c r="H29"/>
      <c r="I29"/>
      <c r="J29"/>
      <c r="K29"/>
    </row>
    <row r="30" spans="1:11" s="12" customFormat="1" x14ac:dyDescent="0.25">
      <c r="A30"/>
      <c r="B30"/>
      <c r="C30"/>
      <c r="D30" s="160" t="s">
        <v>268</v>
      </c>
      <c r="E30" s="160" t="s">
        <v>269</v>
      </c>
      <c r="F30"/>
      <c r="G30" t="s">
        <v>270</v>
      </c>
      <c r="H30"/>
      <c r="I30"/>
      <c r="J30"/>
      <c r="K30" s="159">
        <f>K17</f>
        <v>0.79602616583633856</v>
      </c>
    </row>
    <row r="31" spans="1:11" s="12" customFormat="1" x14ac:dyDescent="0.25">
      <c r="A31"/>
      <c r="B31" t="s">
        <v>249</v>
      </c>
      <c r="C31" s="256">
        <f>E10</f>
        <v>2826.25</v>
      </c>
      <c r="D31" s="28">
        <f>C31/$C$33</f>
        <v>1.8143336887212608E-2</v>
      </c>
      <c r="E31" s="46">
        <f>H17</f>
        <v>1.8478600358725127E-2</v>
      </c>
      <c r="F31"/>
      <c r="G31" t="s">
        <v>271</v>
      </c>
      <c r="H31"/>
      <c r="I31"/>
      <c r="J31"/>
      <c r="K31" s="161">
        <f>E35</f>
        <v>1.8826487497347142E-2</v>
      </c>
    </row>
    <row r="32" spans="1:11" s="12" customFormat="1" x14ac:dyDescent="0.25">
      <c r="A32"/>
      <c r="B32" t="s">
        <v>9</v>
      </c>
      <c r="C32" s="256">
        <f>F10</f>
        <v>152947.19</v>
      </c>
      <c r="D32" s="56">
        <f>C32/$C$33</f>
        <v>0.98185666311278741</v>
      </c>
      <c r="E32" s="28">
        <f>E33-E31</f>
        <v>0.98152139964127483</v>
      </c>
      <c r="F32"/>
      <c r="G32" t="s">
        <v>262</v>
      </c>
      <c r="H32"/>
      <c r="I32"/>
      <c r="J32"/>
      <c r="K32" s="162">
        <f>E23</f>
        <v>0.3</v>
      </c>
    </row>
    <row r="33" spans="1:11" s="12" customFormat="1" x14ac:dyDescent="0.25">
      <c r="A33"/>
      <c r="B33" s="49" t="s">
        <v>272</v>
      </c>
      <c r="C33" s="163">
        <f>SUM(C31:C32)</f>
        <v>155773.44</v>
      </c>
      <c r="D33" s="28">
        <f>C33/$C$33</f>
        <v>1</v>
      </c>
      <c r="E33" s="50">
        <f>D33</f>
        <v>1</v>
      </c>
      <c r="F33"/>
      <c r="G33" s="49" t="s">
        <v>267</v>
      </c>
      <c r="H33" s="49"/>
      <c r="I33" s="49"/>
      <c r="J33" s="49"/>
      <c r="K33" s="164">
        <f>K30*(1+(1-K32)*K31)</f>
        <v>0.80651662949741398</v>
      </c>
    </row>
    <row r="34" spans="1:11" s="12" customFormat="1" x14ac:dyDescent="0.25">
      <c r="A34"/>
      <c r="B34"/>
      <c r="C34"/>
      <c r="D34"/>
      <c r="E34"/>
      <c r="F34"/>
      <c r="G34"/>
      <c r="H34"/>
      <c r="I34"/>
      <c r="J34"/>
      <c r="K34"/>
    </row>
    <row r="35" spans="1:11" s="12" customFormat="1" x14ac:dyDescent="0.25">
      <c r="A35"/>
      <c r="B35" t="s">
        <v>273</v>
      </c>
      <c r="C35"/>
      <c r="D35" s="149">
        <f>D31/D32</f>
        <v>1.8478600358725127E-2</v>
      </c>
      <c r="E35" s="149">
        <f>E31/E32</f>
        <v>1.8826487497347142E-2</v>
      </c>
      <c r="F35"/>
      <c r="G35" s="155" t="s">
        <v>241</v>
      </c>
      <c r="H35" s="88"/>
      <c r="I35" s="88"/>
      <c r="J35" s="88"/>
      <c r="K35" s="88"/>
    </row>
    <row r="37" spans="1:11" x14ac:dyDescent="0.25">
      <c r="B37" s="173" t="s">
        <v>274</v>
      </c>
      <c r="C37" s="165"/>
      <c r="D37" s="165"/>
      <c r="G37" s="39" t="s">
        <v>275</v>
      </c>
      <c r="H37" s="39"/>
      <c r="I37" s="39"/>
      <c r="J37" s="166"/>
      <c r="K37" s="167">
        <f>K25</f>
        <v>0.13587490377665246</v>
      </c>
    </row>
    <row r="38" spans="1:11" x14ac:dyDescent="0.25">
      <c r="B38" s="173" t="s">
        <v>276</v>
      </c>
      <c r="C38" s="165"/>
      <c r="D38" s="165"/>
      <c r="G38" s="146" t="s">
        <v>320</v>
      </c>
      <c r="H38" s="39"/>
      <c r="I38" s="39"/>
      <c r="J38" s="168"/>
      <c r="K38" s="168">
        <f>E32</f>
        <v>0.98152139964127483</v>
      </c>
    </row>
    <row r="39" spans="1:11" x14ac:dyDescent="0.25">
      <c r="B39" s="173" t="s">
        <v>277</v>
      </c>
      <c r="C39" s="165"/>
      <c r="D39" s="165"/>
      <c r="G39" s="39"/>
      <c r="H39" s="39"/>
      <c r="I39" s="39"/>
      <c r="J39" s="168"/>
      <c r="K39" s="168"/>
    </row>
    <row r="40" spans="1:11" x14ac:dyDescent="0.25">
      <c r="B40" s="173" t="s">
        <v>278</v>
      </c>
      <c r="C40" s="165"/>
      <c r="D40" s="165"/>
      <c r="G40" s="146" t="s">
        <v>258</v>
      </c>
      <c r="H40" s="39"/>
      <c r="I40" s="39"/>
      <c r="J40" s="39"/>
      <c r="K40" s="169">
        <f>E24</f>
        <v>0.11959380804953559</v>
      </c>
    </row>
    <row r="41" spans="1:11" x14ac:dyDescent="0.25">
      <c r="B41" s="173" t="s">
        <v>279</v>
      </c>
      <c r="C41" s="165"/>
      <c r="D41" s="165"/>
      <c r="G41" s="146" t="s">
        <v>321</v>
      </c>
      <c r="K41" s="161">
        <f>E31</f>
        <v>1.8478600358725127E-2</v>
      </c>
    </row>
    <row r="43" spans="1:11" x14ac:dyDescent="0.25">
      <c r="G43" s="170" t="s">
        <v>280</v>
      </c>
      <c r="H43" s="170"/>
      <c r="I43" s="170"/>
      <c r="J43" s="170"/>
      <c r="K43" s="171">
        <f>(K37*K38)+(K40*K41)</f>
        <v>0.13557405191530891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G67"/>
  <sheetViews>
    <sheetView showGridLines="0" tabSelected="1" zoomScale="80" zoomScaleNormal="80" workbookViewId="0">
      <selection activeCell="S10" sqref="S10"/>
    </sheetView>
  </sheetViews>
  <sheetFormatPr defaultRowHeight="15" x14ac:dyDescent="0.25"/>
  <cols>
    <col min="1" max="1" width="1.85546875" customWidth="1"/>
    <col min="2" max="2" width="24.28515625" customWidth="1"/>
    <col min="5" max="5" width="11.42578125" customWidth="1"/>
    <col min="6" max="6" width="18.28515625" customWidth="1"/>
    <col min="7" max="7" width="12" bestFit="1" customWidth="1"/>
    <col min="12" max="12" width="10.140625" customWidth="1"/>
    <col min="15" max="15" width="20.42578125" bestFit="1" customWidth="1"/>
    <col min="25" max="25" width="19.28515625" customWidth="1"/>
    <col min="29" max="29" width="10.5703125" bestFit="1" customWidth="1"/>
    <col min="71" max="71" width="33.7109375" customWidth="1"/>
    <col min="93" max="93" width="11.28515625" bestFit="1" customWidth="1"/>
    <col min="97" max="97" width="11.28515625" bestFit="1" customWidth="1"/>
  </cols>
  <sheetData>
    <row r="2" spans="2:137" x14ac:dyDescent="0.25">
      <c r="B2" s="269" t="str">
        <f>"Regression Beta 5 Years Monthly "&amp;" - "&amp;'Data Sheet'!B1</f>
        <v>Regression Beta 5 Years Monthly  - VARUN BEVERAGES LTD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Y2" s="269" t="str">
        <f>"Regression Beta 5 Years Monthly "&amp;" - "&amp;WACC!$B$11</f>
        <v>Regression Beta 5 Years Monthly  - Tata Consumer</v>
      </c>
      <c r="Z2" s="269"/>
      <c r="AA2" s="269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69"/>
      <c r="AV2" s="269" t="str">
        <f>"Regression Beta 5 Years Monthly "&amp;" - "&amp;WACC!$B$12</f>
        <v>Regression Beta 5 Years Monthly  - Nestle India</v>
      </c>
      <c r="AW2" s="269"/>
      <c r="AX2" s="269"/>
      <c r="AY2" s="269"/>
      <c r="AZ2" s="269"/>
      <c r="BA2" s="269"/>
      <c r="BB2" s="269"/>
      <c r="BC2" s="269"/>
      <c r="BD2" s="269"/>
      <c r="BE2" s="269"/>
      <c r="BF2" s="269"/>
      <c r="BG2" s="269"/>
      <c r="BH2" s="269"/>
      <c r="BI2" s="269"/>
      <c r="BS2" s="269" t="str">
        <f>"Regression Beta 5 Years Monthly "&amp;" - "&amp;WACC!$B$13</f>
        <v>Regression Beta 5 Years Monthly  - Hatsun Agro</v>
      </c>
      <c r="BT2" s="269"/>
      <c r="BU2" s="269"/>
      <c r="BV2" s="269"/>
      <c r="BW2" s="269"/>
      <c r="BX2" s="269"/>
      <c r="BY2" s="269"/>
      <c r="BZ2" s="269"/>
      <c r="CA2" s="269"/>
      <c r="CB2" s="269"/>
      <c r="CC2" s="269"/>
      <c r="CD2" s="269"/>
      <c r="CE2" s="269"/>
      <c r="CF2" s="269"/>
      <c r="CG2" s="269"/>
      <c r="CH2" s="269"/>
      <c r="CI2" s="269"/>
      <c r="CJ2" s="269"/>
      <c r="CK2" s="269"/>
      <c r="CL2" s="269"/>
      <c r="CM2" s="269"/>
      <c r="CO2" s="269" t="str">
        <f>"Regression Beta 5 Years Monthly "&amp;" - "&amp;"Heritage Foods"</f>
        <v>Regression Beta 5 Years Monthly  - Heritage Foods</v>
      </c>
      <c r="CP2" s="269"/>
      <c r="CQ2" s="269"/>
      <c r="CR2" s="269"/>
      <c r="CS2" s="269"/>
      <c r="CT2" s="269"/>
      <c r="CU2" s="269"/>
      <c r="CV2" s="269"/>
      <c r="CW2" s="269"/>
      <c r="CX2" s="269"/>
      <c r="CY2" s="269"/>
      <c r="CZ2" s="269"/>
      <c r="DA2" s="269"/>
      <c r="DB2" s="269"/>
      <c r="DC2" s="269"/>
      <c r="DD2" s="269"/>
      <c r="DE2" s="269"/>
      <c r="DF2" s="269"/>
      <c r="DG2" s="269"/>
      <c r="DH2" s="269"/>
      <c r="DI2" s="269"/>
      <c r="DL2" s="269" t="str">
        <f>"Regression Beta 5 Years Monthly "&amp;" - "&amp;WACC!$B$14</f>
        <v>Regression Beta 5 Years Monthly  - Dabur India</v>
      </c>
      <c r="DM2" s="269"/>
      <c r="DN2" s="269"/>
      <c r="DO2" s="269"/>
      <c r="DP2" s="269"/>
      <c r="DQ2" s="269"/>
      <c r="DR2" s="269"/>
      <c r="DS2" s="269"/>
      <c r="DT2" s="269"/>
      <c r="DU2" s="269"/>
      <c r="DV2" s="269"/>
      <c r="DW2" s="269"/>
      <c r="DX2" s="269"/>
      <c r="DY2" s="269"/>
      <c r="DZ2" s="269"/>
      <c r="EA2" s="269"/>
      <c r="EB2" s="269"/>
      <c r="EC2" s="269"/>
      <c r="ED2" s="269"/>
      <c r="EE2" s="269"/>
      <c r="EF2" s="269"/>
    </row>
    <row r="3" spans="2:137" x14ac:dyDescent="0.25">
      <c r="B3" s="269" t="str">
        <f>'Data Sheet'!$B$1&amp;" - "&amp; "Monthly Returns"</f>
        <v>VARUN BEVERAGES LTD - Monthly Returns</v>
      </c>
      <c r="C3" s="269"/>
      <c r="D3" s="269"/>
      <c r="F3" s="269" t="s">
        <v>294</v>
      </c>
      <c r="G3" s="269"/>
      <c r="H3" s="269"/>
      <c r="J3" s="269" t="s">
        <v>283</v>
      </c>
      <c r="K3" s="269"/>
      <c r="L3" s="269"/>
      <c r="N3" s="269" t="s">
        <v>295</v>
      </c>
      <c r="O3" s="269"/>
      <c r="Y3" s="269" t="str">
        <f>WACC!$B$11&amp;" - "&amp; "Monthly Returns"</f>
        <v>Tata Consumer - Monthly Returns</v>
      </c>
      <c r="Z3" s="269"/>
      <c r="AA3" s="269"/>
      <c r="AC3" s="269" t="s">
        <v>294</v>
      </c>
      <c r="AD3" s="269"/>
      <c r="AE3" s="269"/>
      <c r="AG3" s="269" t="s">
        <v>283</v>
      </c>
      <c r="AH3" s="269"/>
      <c r="AI3" s="269"/>
      <c r="AK3" s="269" t="s">
        <v>295</v>
      </c>
      <c r="AL3" s="269"/>
      <c r="AV3" s="269" t="str">
        <f>WACC!$B$12&amp;" - "&amp; "Monthly Returns"</f>
        <v>Nestle India - Monthly Returns</v>
      </c>
      <c r="AW3" s="269"/>
      <c r="AX3" s="269"/>
      <c r="AZ3" s="269" t="s">
        <v>294</v>
      </c>
      <c r="BA3" s="269"/>
      <c r="BB3" s="269"/>
      <c r="BD3" s="269" t="s">
        <v>283</v>
      </c>
      <c r="BE3" s="269"/>
      <c r="BF3" s="269"/>
      <c r="BH3" s="269" t="s">
        <v>295</v>
      </c>
      <c r="BI3" s="269"/>
      <c r="BS3" s="269" t="str">
        <f>WACC!$B$13&amp;" - "&amp; "Monthly Returns"</f>
        <v>Hatsun Agro - Monthly Returns</v>
      </c>
      <c r="BT3" s="269"/>
      <c r="BU3" s="269"/>
      <c r="BW3" s="269" t="s">
        <v>294</v>
      </c>
      <c r="BX3" s="269"/>
      <c r="BY3" s="269"/>
      <c r="CA3" s="269" t="s">
        <v>283</v>
      </c>
      <c r="CB3" s="269"/>
      <c r="CC3" s="269"/>
      <c r="CE3" s="269" t="s">
        <v>295</v>
      </c>
      <c r="CF3" s="269"/>
      <c r="CO3" s="269" t="str">
        <f>"Heritage Foods"&amp;" - "&amp; "Monthly Returns"</f>
        <v>Heritage Foods - Monthly Returns</v>
      </c>
      <c r="CP3" s="269"/>
      <c r="CQ3" s="269"/>
      <c r="CS3" s="269" t="s">
        <v>294</v>
      </c>
      <c r="CT3" s="269"/>
      <c r="CU3" s="269"/>
      <c r="CW3" s="269" t="s">
        <v>283</v>
      </c>
      <c r="CX3" s="269"/>
      <c r="CY3" s="269"/>
      <c r="DA3" s="269" t="s">
        <v>295</v>
      </c>
      <c r="DB3" s="269"/>
      <c r="DL3" s="269" t="str">
        <f>WACC!$B$14&amp;" - "&amp; "Monthly Returns"</f>
        <v>Dabur India - Monthly Returns</v>
      </c>
      <c r="DM3" s="269"/>
      <c r="DN3" s="269"/>
      <c r="DP3" s="269" t="s">
        <v>294</v>
      </c>
      <c r="DQ3" s="269"/>
      <c r="DR3" s="269"/>
      <c r="DT3" s="269" t="s">
        <v>283</v>
      </c>
      <c r="DU3" s="269"/>
      <c r="DV3" s="269"/>
      <c r="DX3" s="269" t="s">
        <v>295</v>
      </c>
      <c r="DY3" s="269"/>
    </row>
    <row r="4" spans="2:137" x14ac:dyDescent="0.25">
      <c r="O4" s="188"/>
      <c r="Y4" s="12"/>
      <c r="AL4" s="188"/>
      <c r="BI4" s="188"/>
      <c r="BS4" s="12"/>
      <c r="CF4" s="188"/>
      <c r="DB4" s="188"/>
      <c r="DY4" s="188"/>
    </row>
    <row r="5" spans="2:137" x14ac:dyDescent="0.25">
      <c r="L5" s="188"/>
      <c r="AI5" s="188"/>
      <c r="BF5" s="188"/>
      <c r="CC5" s="188"/>
      <c r="CY5" s="188"/>
      <c r="DV5" s="188"/>
    </row>
    <row r="6" spans="2:137" x14ac:dyDescent="0.25">
      <c r="B6" s="186" t="s">
        <v>284</v>
      </c>
      <c r="C6" s="187" t="s">
        <v>288</v>
      </c>
      <c r="D6" s="187" t="s">
        <v>285</v>
      </c>
      <c r="E6" s="30"/>
      <c r="F6" s="30" t="s">
        <v>284</v>
      </c>
      <c r="G6" s="187" t="s">
        <v>288</v>
      </c>
      <c r="H6" s="187" t="s">
        <v>285</v>
      </c>
      <c r="J6" t="s">
        <v>286</v>
      </c>
      <c r="L6" s="188">
        <f>O6</f>
        <v>1.1557800962615201</v>
      </c>
      <c r="N6" t="s">
        <v>296</v>
      </c>
      <c r="O6" s="188">
        <f>O26</f>
        <v>1.1557800962615201</v>
      </c>
      <c r="Y6" s="186" t="s">
        <v>284</v>
      </c>
      <c r="Z6" s="187" t="s">
        <v>288</v>
      </c>
      <c r="AA6" s="187" t="s">
        <v>285</v>
      </c>
      <c r="AB6" s="30"/>
      <c r="AC6" s="30" t="s">
        <v>284</v>
      </c>
      <c r="AD6" s="187" t="s">
        <v>288</v>
      </c>
      <c r="AE6" s="187" t="s">
        <v>285</v>
      </c>
      <c r="AG6" t="s">
        <v>286</v>
      </c>
      <c r="AI6" s="188">
        <f>AL6</f>
        <v>1.1407188957372039</v>
      </c>
      <c r="AK6" t="s">
        <v>296</v>
      </c>
      <c r="AL6" s="188">
        <f>AL26</f>
        <v>1.1407188957372039</v>
      </c>
      <c r="AV6" s="186" t="s">
        <v>284</v>
      </c>
      <c r="AW6" s="187" t="s">
        <v>288</v>
      </c>
      <c r="AX6" s="187" t="s">
        <v>285</v>
      </c>
      <c r="AY6" s="30"/>
      <c r="AZ6" s="30" t="s">
        <v>284</v>
      </c>
      <c r="BA6" s="187" t="s">
        <v>288</v>
      </c>
      <c r="BB6" s="187" t="s">
        <v>285</v>
      </c>
      <c r="BD6" t="s">
        <v>286</v>
      </c>
      <c r="BF6" s="188">
        <f>BI6</f>
        <v>7.0206826935484953E-2</v>
      </c>
      <c r="BH6" t="s">
        <v>296</v>
      </c>
      <c r="BI6" s="188">
        <f>BI25</f>
        <v>7.0206826935484953E-2</v>
      </c>
      <c r="BS6" s="186" t="s">
        <v>284</v>
      </c>
      <c r="BT6" s="187" t="s">
        <v>288</v>
      </c>
      <c r="BU6" s="187" t="s">
        <v>285</v>
      </c>
      <c r="BV6" s="30"/>
      <c r="BW6" s="30" t="s">
        <v>284</v>
      </c>
      <c r="BX6" s="187" t="s">
        <v>288</v>
      </c>
      <c r="BY6" s="187" t="s">
        <v>285</v>
      </c>
      <c r="CA6" t="s">
        <v>286</v>
      </c>
      <c r="CC6" s="188">
        <f>CF6</f>
        <v>0.71108948127497917</v>
      </c>
      <c r="CE6" t="s">
        <v>296</v>
      </c>
      <c r="CF6" s="188">
        <f>CF26</f>
        <v>0.71108948127497917</v>
      </c>
      <c r="CO6" s="186" t="s">
        <v>284</v>
      </c>
      <c r="CP6" s="187" t="s">
        <v>288</v>
      </c>
      <c r="CQ6" s="187" t="s">
        <v>285</v>
      </c>
      <c r="CR6" s="30"/>
      <c r="CS6" s="30" t="s">
        <v>284</v>
      </c>
      <c r="CT6" s="187" t="s">
        <v>288</v>
      </c>
      <c r="CU6" s="187" t="s">
        <v>285</v>
      </c>
      <c r="CW6" t="s">
        <v>286</v>
      </c>
      <c r="CY6" s="188">
        <f>DB6</f>
        <v>1.4788101493545942</v>
      </c>
      <c r="DA6" t="s">
        <v>296</v>
      </c>
      <c r="DB6" s="188">
        <f>DB26</f>
        <v>1.4788101493545942</v>
      </c>
      <c r="DL6" s="186" t="s">
        <v>284</v>
      </c>
      <c r="DM6" s="187" t="s">
        <v>288</v>
      </c>
      <c r="DN6" s="187" t="s">
        <v>285</v>
      </c>
      <c r="DO6" s="30"/>
      <c r="DP6" s="30" t="s">
        <v>284</v>
      </c>
      <c r="DQ6" s="187" t="s">
        <v>288</v>
      </c>
      <c r="DR6" s="187" t="s">
        <v>285</v>
      </c>
      <c r="DT6" t="s">
        <v>286</v>
      </c>
      <c r="DV6" s="188">
        <f>DY6</f>
        <v>0.56209807040034143</v>
      </c>
      <c r="DX6" t="s">
        <v>296</v>
      </c>
      <c r="DY6" s="188">
        <f>DY26</f>
        <v>0.56209807040034143</v>
      </c>
    </row>
    <row r="7" spans="2:137" x14ac:dyDescent="0.25">
      <c r="B7" s="176">
        <v>44044</v>
      </c>
      <c r="C7" s="175">
        <v>59.57</v>
      </c>
      <c r="D7" s="28"/>
      <c r="F7" s="177">
        <v>44044</v>
      </c>
      <c r="G7" s="175">
        <v>11387.5</v>
      </c>
      <c r="H7" s="28"/>
      <c r="J7" t="s">
        <v>287</v>
      </c>
      <c r="L7" s="188">
        <v>0.75</v>
      </c>
      <c r="Y7" s="176">
        <v>44044</v>
      </c>
      <c r="Z7" s="175">
        <v>518.30999999999995</v>
      </c>
      <c r="AA7" s="28"/>
      <c r="AC7" s="177">
        <v>44044</v>
      </c>
      <c r="AD7" s="175">
        <v>11387.5</v>
      </c>
      <c r="AE7" s="28"/>
      <c r="AG7" t="s">
        <v>287</v>
      </c>
      <c r="AI7" s="188">
        <v>0.25</v>
      </c>
      <c r="AV7" s="176">
        <v>44044</v>
      </c>
      <c r="AW7" s="175">
        <v>94.25</v>
      </c>
      <c r="AX7" s="28"/>
      <c r="AZ7" s="177">
        <v>44044</v>
      </c>
      <c r="BA7" s="175">
        <v>11387.5</v>
      </c>
      <c r="BB7" s="28"/>
      <c r="BD7" t="s">
        <v>287</v>
      </c>
      <c r="BF7" s="188">
        <v>0.25</v>
      </c>
      <c r="BS7" s="176">
        <v>44044</v>
      </c>
      <c r="BT7" s="175">
        <v>545.42999999999995</v>
      </c>
      <c r="BU7" s="28"/>
      <c r="BW7" s="177">
        <v>44044</v>
      </c>
      <c r="BX7" s="175">
        <v>11387.5</v>
      </c>
      <c r="BY7" s="28"/>
      <c r="CA7" t="s">
        <v>287</v>
      </c>
      <c r="CC7" s="188">
        <v>0.25</v>
      </c>
      <c r="CO7" s="176">
        <v>44044</v>
      </c>
      <c r="CP7" s="175">
        <v>342.04</v>
      </c>
      <c r="CQ7" s="28"/>
      <c r="CS7" s="177">
        <v>44044</v>
      </c>
      <c r="CT7" s="175">
        <v>11387.5</v>
      </c>
      <c r="CU7" s="28"/>
      <c r="CW7" t="s">
        <v>287</v>
      </c>
      <c r="CY7" s="188">
        <v>0.75</v>
      </c>
      <c r="DL7" s="176">
        <v>44044</v>
      </c>
      <c r="DM7" s="175">
        <v>454.43</v>
      </c>
      <c r="DN7" s="28"/>
      <c r="DP7" s="177">
        <v>44044</v>
      </c>
      <c r="DQ7" s="175">
        <v>11387.5</v>
      </c>
      <c r="DR7" s="28"/>
      <c r="DT7" t="s">
        <v>287</v>
      </c>
      <c r="DV7" s="188">
        <v>0.25</v>
      </c>
    </row>
    <row r="8" spans="2:137" x14ac:dyDescent="0.25">
      <c r="B8" s="176">
        <v>44075</v>
      </c>
      <c r="C8" s="175">
        <v>58.69</v>
      </c>
      <c r="D8" s="28">
        <f>C8/C7-1</f>
        <v>-1.4772536511666989E-2</v>
      </c>
      <c r="F8" s="177">
        <v>44075</v>
      </c>
      <c r="G8" s="175">
        <v>11247.55</v>
      </c>
      <c r="H8" s="28">
        <f>G8/G7-1</f>
        <v>-1.2289791437980258E-2</v>
      </c>
      <c r="L8" s="188"/>
      <c r="Y8" s="176">
        <v>44075</v>
      </c>
      <c r="Z8" s="175">
        <v>485.88</v>
      </c>
      <c r="AA8" s="28">
        <f t="shared" ref="AA8:AA39" si="0">Z8/Z7-1</f>
        <v>-6.2568732997626775E-2</v>
      </c>
      <c r="AC8" s="177">
        <v>44075</v>
      </c>
      <c r="AD8" s="175">
        <v>11247.55</v>
      </c>
      <c r="AE8" s="28">
        <f t="shared" ref="AE8:AE39" si="1">AD8/AD7-1</f>
        <v>-1.2289791437980258E-2</v>
      </c>
      <c r="AI8" s="188"/>
      <c r="AV8" s="176">
        <v>44075</v>
      </c>
      <c r="AW8" s="175">
        <v>94.93</v>
      </c>
      <c r="AX8" s="28">
        <f t="shared" ref="AX8:AX39" si="2">AW8/AW7-1</f>
        <v>7.2148541114058773E-3</v>
      </c>
      <c r="AZ8" s="177">
        <v>44075</v>
      </c>
      <c r="BA8" s="175">
        <v>11247.55</v>
      </c>
      <c r="BB8" s="28">
        <f t="shared" ref="BB8:BB39" si="3">BA8/BA7-1</f>
        <v>-1.2289791437980258E-2</v>
      </c>
      <c r="BF8" s="188"/>
      <c r="BH8" t="s">
        <v>218</v>
      </c>
      <c r="BS8" s="176">
        <v>44075</v>
      </c>
      <c r="BT8" s="175">
        <v>571.1</v>
      </c>
      <c r="BU8" s="28">
        <f t="shared" ref="BU8:BU39" si="4">BT8/BT7-1</f>
        <v>4.7063784536971021E-2</v>
      </c>
      <c r="BW8" s="177">
        <v>44075</v>
      </c>
      <c r="BX8" s="175">
        <v>11247.55</v>
      </c>
      <c r="BY8" s="28">
        <f t="shared" ref="BY8:BY39" si="5">BX8/BX7-1</f>
        <v>-1.2289791437980258E-2</v>
      </c>
      <c r="CC8" s="188"/>
      <c r="CO8" s="176">
        <v>44075</v>
      </c>
      <c r="CP8" s="175">
        <v>308.33</v>
      </c>
      <c r="CQ8" s="28">
        <f t="shared" ref="CQ8:CQ39" si="6">CP8/CP7-1</f>
        <v>-9.8555724476669493E-2</v>
      </c>
      <c r="CS8" s="177">
        <v>44075</v>
      </c>
      <c r="CT8" s="175">
        <v>11247.55</v>
      </c>
      <c r="CU8" s="28">
        <f t="shared" ref="CU8:CU39" si="7">CT8/CT7-1</f>
        <v>-1.2289791437980258E-2</v>
      </c>
      <c r="CY8" s="188"/>
      <c r="DL8" s="176">
        <v>44075</v>
      </c>
      <c r="DM8" s="175">
        <v>490.09</v>
      </c>
      <c r="DN8" s="28">
        <f t="shared" ref="DN8:DN39" si="8">DM8/DM7-1</f>
        <v>7.8471931870695011E-2</v>
      </c>
      <c r="DP8" s="177">
        <v>44075</v>
      </c>
      <c r="DQ8" s="175">
        <v>11247.55</v>
      </c>
      <c r="DR8" s="28">
        <f t="shared" ref="DR8:DR39" si="9">DQ8/DQ7-1</f>
        <v>-1.2289791437980258E-2</v>
      </c>
      <c r="DV8" s="188"/>
    </row>
    <row r="9" spans="2:137" ht="15.75" thickBot="1" x14ac:dyDescent="0.3">
      <c r="B9" s="176">
        <v>44105</v>
      </c>
      <c r="C9" s="175">
        <v>54.98</v>
      </c>
      <c r="D9" s="28">
        <f t="shared" ref="D9:D67" si="10">C9/C8-1</f>
        <v>-6.3213494632816558E-2</v>
      </c>
      <c r="F9" s="177">
        <v>44105</v>
      </c>
      <c r="G9" s="175">
        <v>11642.4</v>
      </c>
      <c r="H9" s="28">
        <f t="shared" ref="H9:H67" si="11">G9/G8-1</f>
        <v>3.5105422958777721E-2</v>
      </c>
      <c r="J9" t="s">
        <v>289</v>
      </c>
      <c r="L9" s="188">
        <v>1</v>
      </c>
      <c r="N9" t="s">
        <v>218</v>
      </c>
      <c r="Y9" s="176">
        <v>44105</v>
      </c>
      <c r="Z9" s="175">
        <v>479.61</v>
      </c>
      <c r="AA9" s="28">
        <f t="shared" si="0"/>
        <v>-1.2904420844652931E-2</v>
      </c>
      <c r="AC9" s="177">
        <v>44105</v>
      </c>
      <c r="AD9" s="175">
        <v>11642.4</v>
      </c>
      <c r="AE9" s="28">
        <f t="shared" si="1"/>
        <v>3.5105422958777721E-2</v>
      </c>
      <c r="AG9" t="s">
        <v>289</v>
      </c>
      <c r="AI9" s="188">
        <v>1</v>
      </c>
      <c r="AK9" t="s">
        <v>218</v>
      </c>
      <c r="AT9" s="39"/>
      <c r="AV9" s="176">
        <v>44105</v>
      </c>
      <c r="AW9" s="175">
        <v>89.51</v>
      </c>
      <c r="AX9" s="28">
        <f t="shared" si="2"/>
        <v>-5.7094701358896049E-2</v>
      </c>
      <c r="AZ9" s="177">
        <v>44105</v>
      </c>
      <c r="BA9" s="175">
        <v>11642.4</v>
      </c>
      <c r="BB9" s="28">
        <f t="shared" si="3"/>
        <v>3.5105422958777721E-2</v>
      </c>
      <c r="BD9" t="s">
        <v>289</v>
      </c>
      <c r="BF9" s="188">
        <v>1</v>
      </c>
      <c r="BQ9" s="39"/>
      <c r="BS9" s="176">
        <v>44105</v>
      </c>
      <c r="BT9" s="175">
        <v>585.91999999999996</v>
      </c>
      <c r="BU9" s="28">
        <f t="shared" si="4"/>
        <v>2.5949921204692528E-2</v>
      </c>
      <c r="BW9" s="177">
        <v>44105</v>
      </c>
      <c r="BX9" s="175">
        <v>11642.4</v>
      </c>
      <c r="BY9" s="28">
        <f t="shared" si="5"/>
        <v>3.5105422958777721E-2</v>
      </c>
      <c r="CA9" t="s">
        <v>289</v>
      </c>
      <c r="CC9" s="188">
        <v>1</v>
      </c>
      <c r="CE9" t="s">
        <v>218</v>
      </c>
      <c r="CN9" s="39"/>
      <c r="CO9" s="176">
        <v>44105</v>
      </c>
      <c r="CP9" s="175">
        <v>294.58</v>
      </c>
      <c r="CQ9" s="28">
        <f t="shared" si="6"/>
        <v>-4.4595076703531911E-2</v>
      </c>
      <c r="CS9" s="177">
        <v>44105</v>
      </c>
      <c r="CT9" s="175">
        <v>11642.4</v>
      </c>
      <c r="CU9" s="28">
        <f t="shared" si="7"/>
        <v>3.5105422958777721E-2</v>
      </c>
      <c r="CW9" t="s">
        <v>289</v>
      </c>
      <c r="CY9" s="188">
        <v>1</v>
      </c>
      <c r="DA9" t="s">
        <v>218</v>
      </c>
      <c r="DL9" s="176">
        <v>44105</v>
      </c>
      <c r="DM9" s="175">
        <v>490.9</v>
      </c>
      <c r="DN9" s="28">
        <f t="shared" si="8"/>
        <v>1.6527576567568758E-3</v>
      </c>
      <c r="DP9" s="177">
        <v>44105</v>
      </c>
      <c r="DQ9" s="175">
        <v>11642.4</v>
      </c>
      <c r="DR9" s="28">
        <f t="shared" si="9"/>
        <v>3.5105422958777721E-2</v>
      </c>
      <c r="DT9" t="s">
        <v>289</v>
      </c>
      <c r="DV9" s="188">
        <v>1</v>
      </c>
      <c r="DX9" t="s">
        <v>218</v>
      </c>
      <c r="EG9" s="39"/>
    </row>
    <row r="10" spans="2:137" ht="15.75" thickBot="1" x14ac:dyDescent="0.3">
      <c r="B10" s="176">
        <v>44136</v>
      </c>
      <c r="C10" s="175">
        <v>73.34</v>
      </c>
      <c r="D10" s="28">
        <f t="shared" si="10"/>
        <v>0.33393961440523845</v>
      </c>
      <c r="F10" s="177">
        <v>44136</v>
      </c>
      <c r="G10" s="175">
        <v>12968.95</v>
      </c>
      <c r="H10" s="28">
        <f t="shared" si="11"/>
        <v>0.11394128358414091</v>
      </c>
      <c r="J10" t="s">
        <v>290</v>
      </c>
      <c r="L10" s="188">
        <v>0.25</v>
      </c>
      <c r="Y10" s="176">
        <v>44136</v>
      </c>
      <c r="Z10" s="175">
        <v>524.04</v>
      </c>
      <c r="AA10" s="28">
        <f t="shared" si="0"/>
        <v>9.2637768186651481E-2</v>
      </c>
      <c r="AC10" s="177">
        <v>44136</v>
      </c>
      <c r="AD10" s="175">
        <v>12968.95</v>
      </c>
      <c r="AE10" s="28">
        <f t="shared" si="1"/>
        <v>0.11394128358414091</v>
      </c>
      <c r="AG10" t="s">
        <v>290</v>
      </c>
      <c r="AI10" s="188">
        <v>0.75</v>
      </c>
      <c r="AT10" s="39"/>
      <c r="AV10" s="176">
        <v>44136</v>
      </c>
      <c r="AW10" s="175">
        <v>87.84</v>
      </c>
      <c r="AX10" s="28">
        <f t="shared" si="2"/>
        <v>-1.8657133281197669E-2</v>
      </c>
      <c r="AZ10" s="177">
        <v>44136</v>
      </c>
      <c r="BA10" s="175">
        <v>12968.95</v>
      </c>
      <c r="BB10" s="28">
        <f t="shared" si="3"/>
        <v>0.11394128358414091</v>
      </c>
      <c r="BD10" t="s">
        <v>290</v>
      </c>
      <c r="BF10" s="188">
        <v>0.75</v>
      </c>
      <c r="BH10" s="122" t="s">
        <v>219</v>
      </c>
      <c r="BI10" s="122"/>
      <c r="BQ10" s="39"/>
      <c r="BS10" s="176">
        <v>44136</v>
      </c>
      <c r="BT10" s="175">
        <v>693.84</v>
      </c>
      <c r="BU10" s="28">
        <f t="shared" si="4"/>
        <v>0.18418896777717109</v>
      </c>
      <c r="BW10" s="177">
        <v>44136</v>
      </c>
      <c r="BX10" s="175">
        <v>12968.95</v>
      </c>
      <c r="BY10" s="28">
        <f t="shared" si="5"/>
        <v>0.11394128358414091</v>
      </c>
      <c r="CA10" t="s">
        <v>290</v>
      </c>
      <c r="CC10" s="188">
        <v>0.75</v>
      </c>
      <c r="CN10" s="39"/>
      <c r="CO10" s="176">
        <v>44136</v>
      </c>
      <c r="CP10" s="175">
        <v>279.47000000000003</v>
      </c>
      <c r="CQ10" s="28">
        <f t="shared" si="6"/>
        <v>-5.1293366827347309E-2</v>
      </c>
      <c r="CS10" s="177">
        <v>44136</v>
      </c>
      <c r="CT10" s="175">
        <v>12968.95</v>
      </c>
      <c r="CU10" s="28">
        <f t="shared" si="7"/>
        <v>0.11394128358414091</v>
      </c>
      <c r="CW10" t="s">
        <v>290</v>
      </c>
      <c r="CY10" s="188">
        <v>0.25</v>
      </c>
      <c r="DL10" s="176">
        <v>44136</v>
      </c>
      <c r="DM10" s="175">
        <v>479.43</v>
      </c>
      <c r="DN10" s="28">
        <f t="shared" si="8"/>
        <v>-2.3365247504583353E-2</v>
      </c>
      <c r="DP10" s="177">
        <v>44136</v>
      </c>
      <c r="DQ10" s="175">
        <v>12968.95</v>
      </c>
      <c r="DR10" s="28">
        <f t="shared" si="9"/>
        <v>0.11394128358414091</v>
      </c>
      <c r="DT10" t="s">
        <v>290</v>
      </c>
      <c r="DV10" s="188">
        <v>0.75</v>
      </c>
      <c r="EG10" s="39"/>
    </row>
    <row r="11" spans="2:137" x14ac:dyDescent="0.25">
      <c r="B11" s="176">
        <v>44166</v>
      </c>
      <c r="C11" s="175">
        <v>76.88</v>
      </c>
      <c r="D11" s="28">
        <f t="shared" si="10"/>
        <v>4.8268339241887004E-2</v>
      </c>
      <c r="F11" s="177">
        <v>44166</v>
      </c>
      <c r="G11" s="175">
        <v>13981.75</v>
      </c>
      <c r="H11" s="28">
        <f t="shared" si="11"/>
        <v>7.8094217342190353E-2</v>
      </c>
      <c r="N11" s="122" t="s">
        <v>219</v>
      </c>
      <c r="O11" s="122"/>
      <c r="Y11" s="176">
        <v>44166</v>
      </c>
      <c r="Z11" s="175">
        <v>573.29</v>
      </c>
      <c r="AA11" s="28">
        <f t="shared" si="0"/>
        <v>9.3981375467521611E-2</v>
      </c>
      <c r="AC11" s="177">
        <v>44166</v>
      </c>
      <c r="AD11" s="175">
        <v>13981.75</v>
      </c>
      <c r="AE11" s="28">
        <f t="shared" si="1"/>
        <v>7.8094217342190353E-2</v>
      </c>
      <c r="AK11" s="122" t="s">
        <v>219</v>
      </c>
      <c r="AL11" s="122"/>
      <c r="AT11" s="39"/>
      <c r="AV11" s="176">
        <v>44166</v>
      </c>
      <c r="AW11" s="175">
        <v>90.52</v>
      </c>
      <c r="AX11" s="28">
        <f t="shared" si="2"/>
        <v>3.0510018214936263E-2</v>
      </c>
      <c r="AZ11" s="177">
        <v>44166</v>
      </c>
      <c r="BA11" s="175">
        <v>13981.75</v>
      </c>
      <c r="BB11" s="28">
        <f t="shared" si="3"/>
        <v>7.8094217342190353E-2</v>
      </c>
      <c r="BH11" s="123" t="s">
        <v>220</v>
      </c>
      <c r="BI11" s="123">
        <v>5.8568366171725533E-2</v>
      </c>
      <c r="BQ11" s="39"/>
      <c r="BS11" s="176">
        <v>44166</v>
      </c>
      <c r="BT11" s="175">
        <v>706.99</v>
      </c>
      <c r="BU11" s="28">
        <f t="shared" si="4"/>
        <v>1.8952496252738316E-2</v>
      </c>
      <c r="BW11" s="177">
        <v>44166</v>
      </c>
      <c r="BX11" s="175">
        <v>13981.75</v>
      </c>
      <c r="BY11" s="28">
        <f t="shared" si="5"/>
        <v>7.8094217342190353E-2</v>
      </c>
      <c r="CE11" s="122" t="s">
        <v>219</v>
      </c>
      <c r="CF11" s="122"/>
      <c r="CN11" s="39"/>
      <c r="CO11" s="176">
        <v>44166</v>
      </c>
      <c r="CP11" s="175">
        <v>284.76</v>
      </c>
      <c r="CQ11" s="28">
        <f t="shared" si="6"/>
        <v>1.8928686442194032E-2</v>
      </c>
      <c r="CS11" s="177">
        <v>44166</v>
      </c>
      <c r="CT11" s="175">
        <v>13981.75</v>
      </c>
      <c r="CU11" s="28">
        <f t="shared" si="7"/>
        <v>7.8094217342190353E-2</v>
      </c>
      <c r="DA11" s="122" t="s">
        <v>219</v>
      </c>
      <c r="DB11" s="122"/>
      <c r="DL11" s="176">
        <v>44166</v>
      </c>
      <c r="DM11" s="175">
        <v>514.19000000000005</v>
      </c>
      <c r="DN11" s="28">
        <f t="shared" si="8"/>
        <v>7.2502763698558903E-2</v>
      </c>
      <c r="DP11" s="177">
        <v>44166</v>
      </c>
      <c r="DQ11" s="175">
        <v>13981.75</v>
      </c>
      <c r="DR11" s="28">
        <f t="shared" si="9"/>
        <v>7.8094217342190353E-2</v>
      </c>
      <c r="DX11" s="122" t="s">
        <v>219</v>
      </c>
      <c r="DY11" s="122"/>
      <c r="EG11" s="39"/>
    </row>
    <row r="12" spans="2:137" x14ac:dyDescent="0.25">
      <c r="B12" s="176">
        <v>44197</v>
      </c>
      <c r="C12" s="175">
        <v>75.58</v>
      </c>
      <c r="D12" s="28">
        <f t="shared" si="10"/>
        <v>-1.6909469302809566E-2</v>
      </c>
      <c r="F12" s="177">
        <v>44197</v>
      </c>
      <c r="G12" s="175">
        <v>13634.6</v>
      </c>
      <c r="H12" s="28">
        <f t="shared" si="11"/>
        <v>-2.4828794678777633E-2</v>
      </c>
      <c r="J12" s="189" t="s">
        <v>291</v>
      </c>
      <c r="K12" s="189"/>
      <c r="L12" s="190">
        <f>(L6*L7)+(L9*L10)</f>
        <v>1.1168350721961402</v>
      </c>
      <c r="N12" s="123" t="s">
        <v>220</v>
      </c>
      <c r="O12" s="123">
        <v>0.46699728960039566</v>
      </c>
      <c r="Y12" s="176">
        <v>44197</v>
      </c>
      <c r="Z12" s="175">
        <v>544.70000000000005</v>
      </c>
      <c r="AA12" s="28">
        <f t="shared" si="0"/>
        <v>-4.987004831760522E-2</v>
      </c>
      <c r="AC12" s="177">
        <v>44197</v>
      </c>
      <c r="AD12" s="175">
        <v>13634.6</v>
      </c>
      <c r="AE12" s="28">
        <f t="shared" si="1"/>
        <v>-2.4828794678777633E-2</v>
      </c>
      <c r="AG12" s="189" t="s">
        <v>291</v>
      </c>
      <c r="AH12" s="189"/>
      <c r="AI12" s="190">
        <f>(AI6*AI7)+(AI9*AI10)</f>
        <v>1.035179723934301</v>
      </c>
      <c r="AK12" s="123" t="s">
        <v>220</v>
      </c>
      <c r="AL12" s="123">
        <v>0.64884000563097255</v>
      </c>
      <c r="AT12" s="39"/>
      <c r="AV12" s="176">
        <v>44197</v>
      </c>
      <c r="AW12" s="175">
        <v>86.85</v>
      </c>
      <c r="AX12" s="28">
        <f t="shared" si="2"/>
        <v>-4.0543526292532106E-2</v>
      </c>
      <c r="AZ12" s="177">
        <v>44197</v>
      </c>
      <c r="BA12" s="175">
        <v>13634.6</v>
      </c>
      <c r="BB12" s="28">
        <f t="shared" si="3"/>
        <v>-2.4828794678777633E-2</v>
      </c>
      <c r="BD12" s="189" t="s">
        <v>291</v>
      </c>
      <c r="BE12" s="189"/>
      <c r="BF12" s="190">
        <f>(BF6*BF7)+(BF9*BF10)</f>
        <v>0.76755170673387119</v>
      </c>
      <c r="BH12" s="123" t="s">
        <v>221</v>
      </c>
      <c r="BI12" s="123">
        <v>3.4302535160253235E-3</v>
      </c>
      <c r="BQ12" s="39"/>
      <c r="BS12" s="176">
        <v>44197</v>
      </c>
      <c r="BT12" s="175">
        <v>679.31</v>
      </c>
      <c r="BU12" s="28">
        <f t="shared" si="4"/>
        <v>-3.9151897480869668E-2</v>
      </c>
      <c r="BW12" s="177">
        <v>44197</v>
      </c>
      <c r="BX12" s="175">
        <v>13634.6</v>
      </c>
      <c r="BY12" s="28">
        <f t="shared" si="5"/>
        <v>-2.4828794678777633E-2</v>
      </c>
      <c r="CA12" s="189" t="s">
        <v>291</v>
      </c>
      <c r="CB12" s="189"/>
      <c r="CC12" s="190">
        <f>(CC6*CC7)+(CC9*CC10)</f>
        <v>0.92777237031874482</v>
      </c>
      <c r="CE12" s="123" t="s">
        <v>220</v>
      </c>
      <c r="CF12" s="123">
        <v>0.32235020200544234</v>
      </c>
      <c r="CN12" s="39"/>
      <c r="CO12" s="176">
        <v>44197</v>
      </c>
      <c r="CP12" s="175">
        <v>268.12</v>
      </c>
      <c r="CQ12" s="28">
        <f t="shared" si="6"/>
        <v>-5.8435173479421176E-2</v>
      </c>
      <c r="CS12" s="177">
        <v>44197</v>
      </c>
      <c r="CT12" s="175">
        <v>13634.6</v>
      </c>
      <c r="CU12" s="28">
        <f t="shared" si="7"/>
        <v>-2.4828794678777633E-2</v>
      </c>
      <c r="CW12" s="189" t="s">
        <v>291</v>
      </c>
      <c r="CX12" s="189"/>
      <c r="CY12" s="190">
        <f>(CY6*CY7)+(CY9*CY10)</f>
        <v>1.3591076120159458</v>
      </c>
      <c r="DA12" s="123" t="s">
        <v>220</v>
      </c>
      <c r="DB12" s="123">
        <v>0.38612537344321607</v>
      </c>
      <c r="DL12" s="176">
        <v>44197</v>
      </c>
      <c r="DM12" s="175">
        <v>496.14</v>
      </c>
      <c r="DN12" s="28">
        <f t="shared" si="8"/>
        <v>-3.5103755421147964E-2</v>
      </c>
      <c r="DP12" s="177">
        <v>44197</v>
      </c>
      <c r="DQ12" s="175">
        <v>13634.6</v>
      </c>
      <c r="DR12" s="28">
        <f t="shared" si="9"/>
        <v>-2.4828794678777633E-2</v>
      </c>
      <c r="DT12" s="189" t="s">
        <v>291</v>
      </c>
      <c r="DU12" s="189"/>
      <c r="DV12" s="190">
        <f>(DV6*DV7)+(DV9*DV10)</f>
        <v>0.89052451760008533</v>
      </c>
      <c r="DX12" s="123" t="s">
        <v>220</v>
      </c>
      <c r="DY12" s="123">
        <v>0.42524615336166977</v>
      </c>
      <c r="EG12" s="39"/>
    </row>
    <row r="13" spans="2:137" x14ac:dyDescent="0.25">
      <c r="B13" s="176">
        <v>44228</v>
      </c>
      <c r="C13" s="175">
        <v>87.29</v>
      </c>
      <c r="D13" s="28">
        <f t="shared" si="10"/>
        <v>0.15493516803387153</v>
      </c>
      <c r="F13" s="177">
        <v>44228</v>
      </c>
      <c r="G13" s="175">
        <v>14529.15</v>
      </c>
      <c r="H13" s="28">
        <f t="shared" si="11"/>
        <v>6.5608818740557018E-2</v>
      </c>
      <c r="N13" s="123" t="s">
        <v>221</v>
      </c>
      <c r="O13" s="123">
        <v>0.21808646849411584</v>
      </c>
      <c r="Y13" s="176">
        <v>44228</v>
      </c>
      <c r="Z13" s="175">
        <v>591.76</v>
      </c>
      <c r="AA13" s="28">
        <f t="shared" si="0"/>
        <v>8.6396181384248205E-2</v>
      </c>
      <c r="AC13" s="177">
        <v>44228</v>
      </c>
      <c r="AD13" s="175">
        <v>14529.15</v>
      </c>
      <c r="AE13" s="28">
        <f t="shared" si="1"/>
        <v>6.5608818740557018E-2</v>
      </c>
      <c r="AK13" s="123" t="s">
        <v>221</v>
      </c>
      <c r="AL13" s="123">
        <v>0.42099335290720047</v>
      </c>
      <c r="AT13" s="39"/>
      <c r="AV13" s="176">
        <v>44228</v>
      </c>
      <c r="AW13" s="175">
        <v>82.48</v>
      </c>
      <c r="AX13" s="28">
        <f t="shared" si="2"/>
        <v>-5.0316637881404613E-2</v>
      </c>
      <c r="AZ13" s="177">
        <v>44228</v>
      </c>
      <c r="BA13" s="175">
        <v>14529.15</v>
      </c>
      <c r="BB13" s="28">
        <f t="shared" si="3"/>
        <v>6.5608818740557018E-2</v>
      </c>
      <c r="BH13" s="123" t="s">
        <v>222</v>
      </c>
      <c r="BI13" s="123">
        <v>-1.3751983492319068E-2</v>
      </c>
      <c r="BQ13" s="39"/>
      <c r="BS13" s="176">
        <v>44228</v>
      </c>
      <c r="BT13" s="175">
        <v>686.88</v>
      </c>
      <c r="BU13" s="28">
        <f t="shared" si="4"/>
        <v>1.1143660479015605E-2</v>
      </c>
      <c r="BW13" s="177">
        <v>44228</v>
      </c>
      <c r="BX13" s="175">
        <v>14529.15</v>
      </c>
      <c r="BY13" s="28">
        <f t="shared" si="5"/>
        <v>6.5608818740557018E-2</v>
      </c>
      <c r="CE13" s="123" t="s">
        <v>221</v>
      </c>
      <c r="CF13" s="123">
        <v>0.1039096527329495</v>
      </c>
      <c r="CN13" s="39"/>
      <c r="CO13" s="176">
        <v>44228</v>
      </c>
      <c r="CP13" s="175">
        <v>301.79000000000002</v>
      </c>
      <c r="CQ13" s="28">
        <f t="shared" si="6"/>
        <v>0.12557809935849629</v>
      </c>
      <c r="CS13" s="177">
        <v>44228</v>
      </c>
      <c r="CT13" s="175">
        <v>14529.15</v>
      </c>
      <c r="CU13" s="28">
        <f t="shared" si="7"/>
        <v>6.5608818740557018E-2</v>
      </c>
      <c r="DA13" s="123" t="s">
        <v>221</v>
      </c>
      <c r="DB13" s="123">
        <v>0.14909280401666308</v>
      </c>
      <c r="DL13" s="176">
        <v>44228</v>
      </c>
      <c r="DM13" s="175">
        <v>484.68</v>
      </c>
      <c r="DN13" s="28">
        <f t="shared" si="8"/>
        <v>-2.3098319022856417E-2</v>
      </c>
      <c r="DP13" s="177">
        <v>44228</v>
      </c>
      <c r="DQ13" s="175">
        <v>14529.15</v>
      </c>
      <c r="DR13" s="28">
        <f t="shared" si="9"/>
        <v>6.5608818740557018E-2</v>
      </c>
      <c r="DX13" s="123" t="s">
        <v>221</v>
      </c>
      <c r="DY13" s="123">
        <v>0.18083429094889675</v>
      </c>
      <c r="EG13" s="39"/>
    </row>
    <row r="14" spans="2:137" x14ac:dyDescent="0.25">
      <c r="B14" s="176">
        <v>44256</v>
      </c>
      <c r="C14" s="175">
        <v>84.48</v>
      </c>
      <c r="D14" s="28">
        <f t="shared" si="10"/>
        <v>-3.2191545423301715E-2</v>
      </c>
      <c r="F14" s="177">
        <v>44256</v>
      </c>
      <c r="G14" s="175">
        <v>14690.7</v>
      </c>
      <c r="H14" s="28">
        <f t="shared" si="11"/>
        <v>1.111902623346861E-2</v>
      </c>
      <c r="N14" s="123" t="s">
        <v>222</v>
      </c>
      <c r="O14" s="123">
        <v>0.20460520070953161</v>
      </c>
      <c r="Y14" s="176">
        <v>44256</v>
      </c>
      <c r="Z14" s="175">
        <v>620.78</v>
      </c>
      <c r="AA14" s="28">
        <f t="shared" si="0"/>
        <v>4.9040151412734767E-2</v>
      </c>
      <c r="AC14" s="177">
        <v>44256</v>
      </c>
      <c r="AD14" s="175">
        <v>14690.7</v>
      </c>
      <c r="AE14" s="28">
        <f t="shared" si="1"/>
        <v>1.111902623346861E-2</v>
      </c>
      <c r="AK14" s="123" t="s">
        <v>222</v>
      </c>
      <c r="AL14" s="123">
        <v>0.41101047968146254</v>
      </c>
      <c r="AT14" s="39"/>
      <c r="AV14" s="176">
        <v>44256</v>
      </c>
      <c r="AW14" s="175">
        <v>91.45</v>
      </c>
      <c r="AX14" s="28">
        <f t="shared" si="2"/>
        <v>0.10875363724539278</v>
      </c>
      <c r="AZ14" s="177">
        <v>44256</v>
      </c>
      <c r="BA14" s="175">
        <v>14690.7</v>
      </c>
      <c r="BB14" s="28">
        <f t="shared" si="3"/>
        <v>1.111902623346861E-2</v>
      </c>
      <c r="BH14" s="123" t="s">
        <v>223</v>
      </c>
      <c r="BI14" s="123">
        <v>4.6818073878362253E-2</v>
      </c>
      <c r="BQ14" s="39"/>
      <c r="BS14" s="176">
        <v>44256</v>
      </c>
      <c r="BT14" s="175">
        <v>707.33</v>
      </c>
      <c r="BU14" s="28">
        <f t="shared" si="4"/>
        <v>2.9772303750291274E-2</v>
      </c>
      <c r="BW14" s="177">
        <v>44256</v>
      </c>
      <c r="BX14" s="175">
        <v>14690.7</v>
      </c>
      <c r="BY14" s="28">
        <f t="shared" si="5"/>
        <v>1.111902623346861E-2</v>
      </c>
      <c r="CE14" s="123" t="s">
        <v>222</v>
      </c>
      <c r="CF14" s="123">
        <v>8.8459819159379657E-2</v>
      </c>
      <c r="CN14" s="39"/>
      <c r="CO14" s="176">
        <v>44256</v>
      </c>
      <c r="CP14" s="175">
        <v>282.45</v>
      </c>
      <c r="CQ14" s="28">
        <f t="shared" si="6"/>
        <v>-6.408429702773466E-2</v>
      </c>
      <c r="CS14" s="177">
        <v>44256</v>
      </c>
      <c r="CT14" s="175">
        <v>14690.7</v>
      </c>
      <c r="CU14" s="28">
        <f t="shared" si="7"/>
        <v>1.111902623346861E-2</v>
      </c>
      <c r="DA14" s="123" t="s">
        <v>222</v>
      </c>
      <c r="DB14" s="123">
        <v>0.13442199029281246</v>
      </c>
      <c r="DL14" s="176">
        <v>44256</v>
      </c>
      <c r="DM14" s="175">
        <v>520.64</v>
      </c>
      <c r="DN14" s="28">
        <f t="shared" si="8"/>
        <v>7.4193282165552432E-2</v>
      </c>
      <c r="DP14" s="177">
        <v>44256</v>
      </c>
      <c r="DQ14" s="175">
        <v>14690.7</v>
      </c>
      <c r="DR14" s="28">
        <f t="shared" si="9"/>
        <v>1.111902623346861E-2</v>
      </c>
      <c r="DX14" s="123" t="s">
        <v>222</v>
      </c>
      <c r="DY14" s="123">
        <v>0.16671074424111912</v>
      </c>
      <c r="EG14" s="39"/>
    </row>
    <row r="15" spans="2:137" ht="15.75" thickBot="1" x14ac:dyDescent="0.3">
      <c r="B15" s="176">
        <v>44287</v>
      </c>
      <c r="C15" s="175">
        <v>79.89</v>
      </c>
      <c r="D15" s="28">
        <f t="shared" si="10"/>
        <v>-5.4332386363636354E-2</v>
      </c>
      <c r="F15" s="177">
        <v>44287</v>
      </c>
      <c r="G15" s="175">
        <v>14631.1</v>
      </c>
      <c r="H15" s="28">
        <f t="shared" si="11"/>
        <v>-4.0569884348601315E-3</v>
      </c>
      <c r="N15" s="123" t="s">
        <v>223</v>
      </c>
      <c r="O15" s="123">
        <v>8.5621665775439018E-2</v>
      </c>
      <c r="Y15" s="176">
        <v>44287</v>
      </c>
      <c r="Z15" s="175">
        <v>653.16</v>
      </c>
      <c r="AA15" s="28">
        <f t="shared" si="0"/>
        <v>5.2160185572988738E-2</v>
      </c>
      <c r="AC15" s="177">
        <v>44287</v>
      </c>
      <c r="AD15" s="175">
        <v>14631.1</v>
      </c>
      <c r="AE15" s="28">
        <f t="shared" si="1"/>
        <v>-4.0569884348601315E-3</v>
      </c>
      <c r="AK15" s="123" t="s">
        <v>223</v>
      </c>
      <c r="AL15" s="123">
        <v>5.2339099718045949E-2</v>
      </c>
      <c r="AT15" s="39"/>
      <c r="AV15" s="176">
        <v>44287</v>
      </c>
      <c r="AW15" s="175">
        <v>94.53</v>
      </c>
      <c r="AX15" s="28">
        <f t="shared" si="2"/>
        <v>3.3679606342263524E-2</v>
      </c>
      <c r="AZ15" s="177">
        <v>44287</v>
      </c>
      <c r="BA15" s="175">
        <v>14631.1</v>
      </c>
      <c r="BB15" s="28">
        <f t="shared" si="3"/>
        <v>-4.0569884348601315E-3</v>
      </c>
      <c r="BH15" s="124" t="s">
        <v>224</v>
      </c>
      <c r="BI15" s="124">
        <v>60</v>
      </c>
      <c r="BQ15" s="39"/>
      <c r="BS15" s="176">
        <v>44287</v>
      </c>
      <c r="BT15" s="175">
        <v>777.57</v>
      </c>
      <c r="BU15" s="28">
        <f t="shared" si="4"/>
        <v>9.9303012738042984E-2</v>
      </c>
      <c r="BW15" s="177">
        <v>44287</v>
      </c>
      <c r="BX15" s="175">
        <v>14631.1</v>
      </c>
      <c r="BY15" s="28">
        <f t="shared" si="5"/>
        <v>-4.0569884348601315E-3</v>
      </c>
      <c r="CE15" s="123" t="s">
        <v>223</v>
      </c>
      <c r="CF15" s="123">
        <v>8.1698797514083321E-2</v>
      </c>
      <c r="CN15" s="39"/>
      <c r="CO15" s="176">
        <v>44287</v>
      </c>
      <c r="CP15" s="175">
        <v>352.92</v>
      </c>
      <c r="CQ15" s="28">
        <f t="shared" si="6"/>
        <v>0.24949548592671289</v>
      </c>
      <c r="CS15" s="177">
        <v>44287</v>
      </c>
      <c r="CT15" s="175">
        <v>14631.1</v>
      </c>
      <c r="CU15" s="28">
        <f t="shared" si="7"/>
        <v>-4.0569884348601315E-3</v>
      </c>
      <c r="DA15" s="123" t="s">
        <v>223</v>
      </c>
      <c r="DB15" s="123">
        <v>0.13821928324985719</v>
      </c>
      <c r="DL15" s="176">
        <v>44287</v>
      </c>
      <c r="DM15" s="175">
        <v>518.48</v>
      </c>
      <c r="DN15" s="28">
        <f t="shared" si="8"/>
        <v>-4.1487400122924845E-3</v>
      </c>
      <c r="DP15" s="177">
        <v>44287</v>
      </c>
      <c r="DQ15" s="175">
        <v>14631.1</v>
      </c>
      <c r="DR15" s="28">
        <f t="shared" si="9"/>
        <v>-4.0569884348601315E-3</v>
      </c>
      <c r="DX15" s="123" t="s">
        <v>223</v>
      </c>
      <c r="DY15" s="123">
        <v>4.6805947351949345E-2</v>
      </c>
      <c r="EG15" s="39"/>
    </row>
    <row r="16" spans="2:137" ht="15.75" thickBot="1" x14ac:dyDescent="0.3">
      <c r="B16" s="176">
        <v>44317</v>
      </c>
      <c r="C16" s="175">
        <v>85.05</v>
      </c>
      <c r="D16" s="28">
        <f t="shared" si="10"/>
        <v>6.4588809613218112E-2</v>
      </c>
      <c r="F16" s="177">
        <v>44317</v>
      </c>
      <c r="G16" s="175">
        <v>15582.8</v>
      </c>
      <c r="H16" s="28">
        <f t="shared" si="11"/>
        <v>6.5046373820150105E-2</v>
      </c>
      <c r="N16" s="124" t="s">
        <v>224</v>
      </c>
      <c r="O16" s="124">
        <v>60</v>
      </c>
      <c r="Y16" s="176">
        <v>44317</v>
      </c>
      <c r="Z16" s="175">
        <v>645.28</v>
      </c>
      <c r="AA16" s="28">
        <f t="shared" si="0"/>
        <v>-1.2064425255680078E-2</v>
      </c>
      <c r="AC16" s="177">
        <v>44317</v>
      </c>
      <c r="AD16" s="175">
        <v>15582.8</v>
      </c>
      <c r="AE16" s="28">
        <f t="shared" si="1"/>
        <v>6.5046373820150105E-2</v>
      </c>
      <c r="AK16" s="124" t="s">
        <v>224</v>
      </c>
      <c r="AL16" s="124">
        <v>60</v>
      </c>
      <c r="AT16" s="39"/>
      <c r="AV16" s="176">
        <v>44317</v>
      </c>
      <c r="AW16" s="175">
        <v>98.6</v>
      </c>
      <c r="AX16" s="28">
        <f t="shared" si="2"/>
        <v>4.305511477837709E-2</v>
      </c>
      <c r="AZ16" s="177">
        <v>44317</v>
      </c>
      <c r="BA16" s="175">
        <v>15582.8</v>
      </c>
      <c r="BB16" s="28">
        <f t="shared" si="3"/>
        <v>6.5046373820150105E-2</v>
      </c>
      <c r="BQ16" s="39"/>
      <c r="BS16" s="176">
        <v>44317</v>
      </c>
      <c r="BT16" s="175">
        <v>839.85</v>
      </c>
      <c r="BU16" s="28">
        <f t="shared" si="4"/>
        <v>8.0095682703807958E-2</v>
      </c>
      <c r="BW16" s="177">
        <v>44317</v>
      </c>
      <c r="BX16" s="175">
        <v>15582.8</v>
      </c>
      <c r="BY16" s="28">
        <f t="shared" si="5"/>
        <v>6.5046373820150105E-2</v>
      </c>
      <c r="CE16" s="124" t="s">
        <v>224</v>
      </c>
      <c r="CF16" s="124">
        <v>60</v>
      </c>
      <c r="CN16" s="39"/>
      <c r="CO16" s="176">
        <v>44317</v>
      </c>
      <c r="CP16" s="175">
        <v>326.23</v>
      </c>
      <c r="CQ16" s="28">
        <f t="shared" si="6"/>
        <v>-7.5626204238920969E-2</v>
      </c>
      <c r="CS16" s="177">
        <v>44317</v>
      </c>
      <c r="CT16" s="175">
        <v>15582.8</v>
      </c>
      <c r="CU16" s="28">
        <f t="shared" si="7"/>
        <v>6.5046373820150105E-2</v>
      </c>
      <c r="DA16" s="124" t="s">
        <v>224</v>
      </c>
      <c r="DB16" s="124">
        <v>60</v>
      </c>
      <c r="DL16" s="176">
        <v>44317</v>
      </c>
      <c r="DM16" s="175">
        <v>520.36</v>
      </c>
      <c r="DN16" s="28">
        <f t="shared" si="8"/>
        <v>3.6259836444993976E-3</v>
      </c>
      <c r="DP16" s="177">
        <v>44317</v>
      </c>
      <c r="DQ16" s="175">
        <v>15582.8</v>
      </c>
      <c r="DR16" s="28">
        <f t="shared" si="9"/>
        <v>6.5046373820150105E-2</v>
      </c>
      <c r="DX16" s="124" t="s">
        <v>224</v>
      </c>
      <c r="DY16" s="124">
        <v>60</v>
      </c>
      <c r="EG16" s="39"/>
    </row>
    <row r="17" spans="2:137" ht="15.75" thickBot="1" x14ac:dyDescent="0.3">
      <c r="B17" s="176">
        <v>44348</v>
      </c>
      <c r="C17" s="175">
        <v>91.86</v>
      </c>
      <c r="D17" s="28">
        <f t="shared" si="10"/>
        <v>8.0070546737213366E-2</v>
      </c>
      <c r="F17" s="177">
        <v>44348</v>
      </c>
      <c r="G17" s="175">
        <v>15721.5</v>
      </c>
      <c r="H17" s="28">
        <f t="shared" si="11"/>
        <v>8.9008393870164682E-3</v>
      </c>
      <c r="Y17" s="176">
        <v>44348</v>
      </c>
      <c r="Z17" s="175">
        <v>732.88</v>
      </c>
      <c r="AA17" s="28">
        <f t="shared" si="0"/>
        <v>0.13575502107612203</v>
      </c>
      <c r="AC17" s="177">
        <v>44348</v>
      </c>
      <c r="AD17" s="175">
        <v>15721.5</v>
      </c>
      <c r="AE17" s="28">
        <f t="shared" si="1"/>
        <v>8.9008393870164682E-3</v>
      </c>
      <c r="AT17" s="39"/>
      <c r="AV17" s="176">
        <v>44348</v>
      </c>
      <c r="AW17" s="175">
        <v>102.63</v>
      </c>
      <c r="AX17" s="28">
        <f t="shared" si="2"/>
        <v>4.087221095334681E-2</v>
      </c>
      <c r="AZ17" s="177">
        <v>44348</v>
      </c>
      <c r="BA17" s="175">
        <v>15721.5</v>
      </c>
      <c r="BB17" s="28">
        <f t="shared" si="3"/>
        <v>8.9008393870164682E-3</v>
      </c>
      <c r="BH17" t="s">
        <v>225</v>
      </c>
      <c r="BQ17" s="39"/>
      <c r="BS17" s="176">
        <v>44348</v>
      </c>
      <c r="BT17" s="175">
        <v>872.51</v>
      </c>
      <c r="BU17" s="28">
        <f t="shared" si="4"/>
        <v>3.8887896648210907E-2</v>
      </c>
      <c r="BW17" s="177">
        <v>44348</v>
      </c>
      <c r="BX17" s="175">
        <v>15721.5</v>
      </c>
      <c r="BY17" s="28">
        <f t="shared" si="5"/>
        <v>8.9008393870164682E-3</v>
      </c>
      <c r="CN17" s="39"/>
      <c r="CO17" s="176">
        <v>44348</v>
      </c>
      <c r="CP17" s="175">
        <v>414.88</v>
      </c>
      <c r="CQ17" s="28">
        <f t="shared" si="6"/>
        <v>0.27174079637065862</v>
      </c>
      <c r="CS17" s="177">
        <v>44348</v>
      </c>
      <c r="CT17" s="175">
        <v>15721.5</v>
      </c>
      <c r="CU17" s="28">
        <f t="shared" si="7"/>
        <v>8.9008393870164682E-3</v>
      </c>
      <c r="DL17" s="176">
        <v>44348</v>
      </c>
      <c r="DM17" s="175">
        <v>547.70000000000005</v>
      </c>
      <c r="DN17" s="28">
        <f t="shared" si="8"/>
        <v>5.2540548850795732E-2</v>
      </c>
      <c r="DP17" s="177">
        <v>44348</v>
      </c>
      <c r="DQ17" s="175">
        <v>15721.5</v>
      </c>
      <c r="DR17" s="28">
        <f t="shared" si="9"/>
        <v>8.9008393870164682E-3</v>
      </c>
      <c r="EG17" s="39"/>
    </row>
    <row r="18" spans="2:137" ht="15.75" thickBot="1" x14ac:dyDescent="0.3">
      <c r="B18" s="176">
        <v>44378</v>
      </c>
      <c r="C18" s="175">
        <v>95.94</v>
      </c>
      <c r="D18" s="28">
        <f t="shared" si="10"/>
        <v>4.4415414761593608E-2</v>
      </c>
      <c r="F18" s="177">
        <v>44378</v>
      </c>
      <c r="G18" s="175">
        <v>15763.05</v>
      </c>
      <c r="H18" s="28">
        <f t="shared" si="11"/>
        <v>2.6428775880162902E-3</v>
      </c>
      <c r="N18" t="s">
        <v>225</v>
      </c>
      <c r="Y18" s="176">
        <v>44378</v>
      </c>
      <c r="Z18" s="175">
        <v>739.38</v>
      </c>
      <c r="AA18" s="28">
        <f t="shared" si="0"/>
        <v>8.8691190918022134E-3</v>
      </c>
      <c r="AC18" s="177">
        <v>44378</v>
      </c>
      <c r="AD18" s="175">
        <v>15763.05</v>
      </c>
      <c r="AE18" s="28">
        <f t="shared" si="1"/>
        <v>2.6428775880162902E-3</v>
      </c>
      <c r="AK18" t="s">
        <v>225</v>
      </c>
      <c r="AT18" s="39"/>
      <c r="AV18" s="176">
        <v>44378</v>
      </c>
      <c r="AW18" s="175">
        <v>102.25</v>
      </c>
      <c r="AX18" s="28">
        <f t="shared" si="2"/>
        <v>-3.7026210659650838E-3</v>
      </c>
      <c r="AZ18" s="177">
        <v>44378</v>
      </c>
      <c r="BA18" s="175">
        <v>15763.05</v>
      </c>
      <c r="BB18" s="28">
        <f t="shared" si="3"/>
        <v>2.6428775880162902E-3</v>
      </c>
      <c r="BH18" s="126"/>
      <c r="BI18" s="126" t="s">
        <v>226</v>
      </c>
      <c r="BJ18" s="126" t="s">
        <v>227</v>
      </c>
      <c r="BK18" s="126" t="s">
        <v>228</v>
      </c>
      <c r="BL18" s="126" t="s">
        <v>229</v>
      </c>
      <c r="BM18" s="126" t="s">
        <v>230</v>
      </c>
      <c r="BQ18" s="39"/>
      <c r="BS18" s="176">
        <v>44378</v>
      </c>
      <c r="BT18" s="175">
        <v>904.28</v>
      </c>
      <c r="BU18" s="28">
        <f t="shared" si="4"/>
        <v>3.6412190118164878E-2</v>
      </c>
      <c r="BW18" s="177">
        <v>44378</v>
      </c>
      <c r="BX18" s="175">
        <v>15763.05</v>
      </c>
      <c r="BY18" s="28">
        <f t="shared" si="5"/>
        <v>2.6428775880162902E-3</v>
      </c>
      <c r="CE18" t="s">
        <v>225</v>
      </c>
      <c r="CN18" s="39"/>
      <c r="CO18" s="176">
        <v>44378</v>
      </c>
      <c r="CP18" s="175">
        <v>471.69</v>
      </c>
      <c r="CQ18" s="28">
        <f t="shared" si="6"/>
        <v>0.13693116081758583</v>
      </c>
      <c r="CS18" s="177">
        <v>44378</v>
      </c>
      <c r="CT18" s="175">
        <v>15763.05</v>
      </c>
      <c r="CU18" s="28">
        <f t="shared" si="7"/>
        <v>2.6428775880162902E-3</v>
      </c>
      <c r="DA18" t="s">
        <v>225</v>
      </c>
      <c r="DL18" s="176">
        <v>44378</v>
      </c>
      <c r="DM18" s="175">
        <v>578.23</v>
      </c>
      <c r="DN18" s="28">
        <f t="shared" si="8"/>
        <v>5.574219463209773E-2</v>
      </c>
      <c r="DP18" s="177">
        <v>44378</v>
      </c>
      <c r="DQ18" s="175">
        <v>15763.05</v>
      </c>
      <c r="DR18" s="28">
        <f t="shared" si="9"/>
        <v>2.6428775880162902E-3</v>
      </c>
      <c r="DX18" t="s">
        <v>225</v>
      </c>
      <c r="EG18" s="39"/>
    </row>
    <row r="19" spans="2:137" x14ac:dyDescent="0.25">
      <c r="B19" s="176">
        <v>44409</v>
      </c>
      <c r="C19" s="175">
        <v>106.23</v>
      </c>
      <c r="D19" s="28">
        <f t="shared" si="10"/>
        <v>0.10725453408380248</v>
      </c>
      <c r="F19" s="177">
        <v>44409</v>
      </c>
      <c r="G19" s="175">
        <v>17132.2</v>
      </c>
      <c r="H19" s="28">
        <f t="shared" si="11"/>
        <v>8.6858190515160638E-2</v>
      </c>
      <c r="N19" s="126"/>
      <c r="O19" s="126" t="s">
        <v>226</v>
      </c>
      <c r="P19" s="126" t="s">
        <v>227</v>
      </c>
      <c r="Q19" s="126" t="s">
        <v>228</v>
      </c>
      <c r="R19" s="126" t="s">
        <v>229</v>
      </c>
      <c r="S19" s="126" t="s">
        <v>230</v>
      </c>
      <c r="Y19" s="176">
        <v>44409</v>
      </c>
      <c r="Z19" s="175">
        <v>845.53</v>
      </c>
      <c r="AA19" s="28">
        <f t="shared" si="0"/>
        <v>0.14356623116665301</v>
      </c>
      <c r="AC19" s="177">
        <v>44409</v>
      </c>
      <c r="AD19" s="175">
        <v>17132.2</v>
      </c>
      <c r="AE19" s="28">
        <f t="shared" si="1"/>
        <v>8.6858190515160638E-2</v>
      </c>
      <c r="AK19" s="126"/>
      <c r="AL19" s="126" t="s">
        <v>226</v>
      </c>
      <c r="AM19" s="126" t="s">
        <v>227</v>
      </c>
      <c r="AN19" s="126" t="s">
        <v>228</v>
      </c>
      <c r="AO19" s="126" t="s">
        <v>229</v>
      </c>
      <c r="AP19" s="126" t="s">
        <v>230</v>
      </c>
      <c r="AT19" s="39"/>
      <c r="AV19" s="176">
        <v>44409</v>
      </c>
      <c r="AW19" s="175">
        <v>103.09</v>
      </c>
      <c r="AX19" s="28">
        <f t="shared" si="2"/>
        <v>8.2151589242054346E-3</v>
      </c>
      <c r="AZ19" s="177">
        <v>44409</v>
      </c>
      <c r="BA19" s="175">
        <v>17132.2</v>
      </c>
      <c r="BB19" s="28">
        <f t="shared" si="3"/>
        <v>8.6858190515160638E-2</v>
      </c>
      <c r="BH19" s="123" t="s">
        <v>231</v>
      </c>
      <c r="BI19" s="123">
        <v>1</v>
      </c>
      <c r="BJ19" s="123">
        <v>4.3759625648331912E-4</v>
      </c>
      <c r="BK19" s="123">
        <v>4.3759625648331912E-4</v>
      </c>
      <c r="BL19" s="123">
        <v>0.19963951808832883</v>
      </c>
      <c r="BM19" s="123">
        <v>0.65667596246057969</v>
      </c>
      <c r="BQ19" s="39"/>
      <c r="BS19" s="176">
        <v>44409</v>
      </c>
      <c r="BT19" s="175">
        <v>1074.24</v>
      </c>
      <c r="BU19" s="28">
        <f t="shared" si="4"/>
        <v>0.18795063475914553</v>
      </c>
      <c r="BW19" s="177">
        <v>44409</v>
      </c>
      <c r="BX19" s="175">
        <v>17132.2</v>
      </c>
      <c r="BY19" s="28">
        <f t="shared" si="5"/>
        <v>8.6858190515160638E-2</v>
      </c>
      <c r="CE19" s="126"/>
      <c r="CF19" s="126" t="s">
        <v>226</v>
      </c>
      <c r="CG19" s="126" t="s">
        <v>227</v>
      </c>
      <c r="CH19" s="126" t="s">
        <v>228</v>
      </c>
      <c r="CI19" s="126" t="s">
        <v>229</v>
      </c>
      <c r="CJ19" s="126" t="s">
        <v>230</v>
      </c>
      <c r="CN19" s="39"/>
      <c r="CO19" s="176">
        <v>44409</v>
      </c>
      <c r="CP19" s="175">
        <v>454.27</v>
      </c>
      <c r="CQ19" s="28">
        <f t="shared" si="6"/>
        <v>-3.6931035213805696E-2</v>
      </c>
      <c r="CS19" s="177">
        <v>44409</v>
      </c>
      <c r="CT19" s="175">
        <v>17132.2</v>
      </c>
      <c r="CU19" s="28">
        <f t="shared" si="7"/>
        <v>8.6858190515160638E-2</v>
      </c>
      <c r="DA19" s="126"/>
      <c r="DB19" s="126" t="s">
        <v>226</v>
      </c>
      <c r="DC19" s="126" t="s">
        <v>227</v>
      </c>
      <c r="DD19" s="126" t="s">
        <v>228</v>
      </c>
      <c r="DE19" s="126" t="s">
        <v>229</v>
      </c>
      <c r="DF19" s="126" t="s">
        <v>230</v>
      </c>
      <c r="DL19" s="176">
        <v>44409</v>
      </c>
      <c r="DM19" s="175">
        <v>600.88</v>
      </c>
      <c r="DN19" s="28">
        <f t="shared" si="8"/>
        <v>3.9171264029884245E-2</v>
      </c>
      <c r="DP19" s="177">
        <v>44409</v>
      </c>
      <c r="DQ19" s="175">
        <v>17132.2</v>
      </c>
      <c r="DR19" s="28">
        <f t="shared" si="9"/>
        <v>8.6858190515160638E-2</v>
      </c>
      <c r="DX19" s="126"/>
      <c r="DY19" s="126" t="s">
        <v>226</v>
      </c>
      <c r="DZ19" s="126" t="s">
        <v>227</v>
      </c>
      <c r="EA19" s="126" t="s">
        <v>228</v>
      </c>
      <c r="EB19" s="126" t="s">
        <v>229</v>
      </c>
      <c r="EC19" s="126" t="s">
        <v>230</v>
      </c>
      <c r="EG19" s="39"/>
    </row>
    <row r="20" spans="2:137" x14ac:dyDescent="0.25">
      <c r="B20" s="176">
        <v>44440</v>
      </c>
      <c r="C20" s="175">
        <v>116.42</v>
      </c>
      <c r="D20" s="28">
        <f t="shared" si="10"/>
        <v>9.5923938623740934E-2</v>
      </c>
      <c r="F20" s="177">
        <v>44440</v>
      </c>
      <c r="G20" s="175">
        <v>17618.150000000001</v>
      </c>
      <c r="H20" s="28">
        <f t="shared" si="11"/>
        <v>2.8364716732235173E-2</v>
      </c>
      <c r="N20" s="123" t="s">
        <v>231</v>
      </c>
      <c r="O20" s="123">
        <v>1</v>
      </c>
      <c r="P20" s="123">
        <v>0.11859471348208317</v>
      </c>
      <c r="Q20" s="123">
        <v>0.11859471348208317</v>
      </c>
      <c r="R20" s="123">
        <v>16.176999966093476</v>
      </c>
      <c r="S20" s="123">
        <v>1.6891436596224544E-4</v>
      </c>
      <c r="Y20" s="176">
        <v>44440</v>
      </c>
      <c r="Z20" s="175">
        <v>795.56</v>
      </c>
      <c r="AA20" s="28">
        <f t="shared" si="0"/>
        <v>-5.9099026646009079E-2</v>
      </c>
      <c r="AC20" s="177">
        <v>44440</v>
      </c>
      <c r="AD20" s="175">
        <v>17618.150000000001</v>
      </c>
      <c r="AE20" s="28">
        <f t="shared" si="1"/>
        <v>2.8364716732235173E-2</v>
      </c>
      <c r="AK20" s="123" t="s">
        <v>231</v>
      </c>
      <c r="AL20" s="123">
        <v>1</v>
      </c>
      <c r="AM20" s="123">
        <v>0.1155239896634141</v>
      </c>
      <c r="AN20" s="123">
        <v>0.1155239896634141</v>
      </c>
      <c r="AO20" s="123">
        <v>42.171561572252777</v>
      </c>
      <c r="AP20" s="123">
        <v>2.0633952055982825E-8</v>
      </c>
      <c r="AT20" s="39"/>
      <c r="AV20" s="176">
        <v>44440</v>
      </c>
      <c r="AW20" s="175">
        <v>100.38</v>
      </c>
      <c r="AX20" s="28">
        <f t="shared" si="2"/>
        <v>-2.6287709768163858E-2</v>
      </c>
      <c r="AZ20" s="177">
        <v>44440</v>
      </c>
      <c r="BA20" s="175">
        <v>17618.150000000001</v>
      </c>
      <c r="BB20" s="28">
        <f t="shared" si="3"/>
        <v>2.8364716732235173E-2</v>
      </c>
      <c r="BH20" s="123" t="s">
        <v>232</v>
      </c>
      <c r="BI20" s="123">
        <v>58</v>
      </c>
      <c r="BJ20" s="123">
        <v>0.12713205841742756</v>
      </c>
      <c r="BK20" s="123">
        <v>2.1919320416797857E-3</v>
      </c>
      <c r="BL20" s="123"/>
      <c r="BM20" s="123"/>
      <c r="BQ20" s="39"/>
      <c r="BS20" s="176">
        <v>44440</v>
      </c>
      <c r="BT20" s="175">
        <v>1383.52</v>
      </c>
      <c r="BU20" s="28">
        <f t="shared" si="4"/>
        <v>0.28790586833482279</v>
      </c>
      <c r="BW20" s="177">
        <v>44440</v>
      </c>
      <c r="BX20" s="175">
        <v>17618.150000000001</v>
      </c>
      <c r="BY20" s="28">
        <f t="shared" si="5"/>
        <v>2.8364716732235173E-2</v>
      </c>
      <c r="CE20" s="123" t="s">
        <v>231</v>
      </c>
      <c r="CF20" s="123">
        <v>1</v>
      </c>
      <c r="CG20" s="123">
        <v>4.4891427597944678E-2</v>
      </c>
      <c r="CH20" s="123">
        <v>4.4891427597944678E-2</v>
      </c>
      <c r="CI20" s="123">
        <v>6.7256163141270751</v>
      </c>
      <c r="CJ20" s="123">
        <v>1.2010644899866151E-2</v>
      </c>
      <c r="CN20" s="39"/>
      <c r="CO20" s="176">
        <v>44440</v>
      </c>
      <c r="CP20" s="175">
        <v>443.53</v>
      </c>
      <c r="CQ20" s="28">
        <f t="shared" si="6"/>
        <v>-2.3642327250313677E-2</v>
      </c>
      <c r="CS20" s="177">
        <v>44440</v>
      </c>
      <c r="CT20" s="175">
        <v>17618.150000000001</v>
      </c>
      <c r="CU20" s="28">
        <f t="shared" si="7"/>
        <v>2.8364716732235173E-2</v>
      </c>
      <c r="DA20" s="123" t="s">
        <v>231</v>
      </c>
      <c r="DB20" s="123">
        <v>1</v>
      </c>
      <c r="DC20" s="123">
        <v>0.19415105416271849</v>
      </c>
      <c r="DD20" s="123">
        <v>0.19415105416271849</v>
      </c>
      <c r="DE20" s="123">
        <v>10.162544956472313</v>
      </c>
      <c r="DF20" s="123">
        <v>2.3104567240481069E-3</v>
      </c>
      <c r="DL20" s="176">
        <v>44440</v>
      </c>
      <c r="DM20" s="175">
        <v>597.25</v>
      </c>
      <c r="DN20" s="28">
        <f t="shared" si="8"/>
        <v>-6.0411396618292867E-3</v>
      </c>
      <c r="DP20" s="177">
        <v>44440</v>
      </c>
      <c r="DQ20" s="175">
        <v>17618.150000000001</v>
      </c>
      <c r="DR20" s="28">
        <f t="shared" si="9"/>
        <v>2.8364716732235173E-2</v>
      </c>
      <c r="DX20" s="123" t="s">
        <v>231</v>
      </c>
      <c r="DY20" s="123">
        <v>1</v>
      </c>
      <c r="DZ20" s="123">
        <v>2.8050402452962253E-2</v>
      </c>
      <c r="EA20" s="123">
        <v>2.8050402452962253E-2</v>
      </c>
      <c r="EB20" s="123">
        <v>12.803745028811623</v>
      </c>
      <c r="EC20" s="123">
        <v>7.0669671310328403E-4</v>
      </c>
      <c r="EG20" s="39"/>
    </row>
    <row r="21" spans="2:137" ht="15.75" thickBot="1" x14ac:dyDescent="0.3">
      <c r="B21" s="176">
        <v>44470</v>
      </c>
      <c r="C21" s="175">
        <v>109.91</v>
      </c>
      <c r="D21" s="28">
        <f t="shared" si="10"/>
        <v>-5.5918227108744278E-2</v>
      </c>
      <c r="F21" s="177">
        <v>44470</v>
      </c>
      <c r="G21" s="175">
        <v>17671.650000000001</v>
      </c>
      <c r="H21" s="28">
        <f t="shared" si="11"/>
        <v>3.0366411910445201E-3</v>
      </c>
      <c r="N21" s="123" t="s">
        <v>232</v>
      </c>
      <c r="O21" s="123">
        <v>58</v>
      </c>
      <c r="P21" s="123">
        <v>0.42520203970933712</v>
      </c>
      <c r="Q21" s="123">
        <v>7.3310696501609849E-3</v>
      </c>
      <c r="R21" s="123"/>
      <c r="S21" s="123"/>
      <c r="Y21" s="176">
        <v>44470</v>
      </c>
      <c r="Z21" s="175">
        <v>791.26</v>
      </c>
      <c r="AA21" s="28">
        <f t="shared" si="0"/>
        <v>-5.4049977374427405E-3</v>
      </c>
      <c r="AC21" s="177">
        <v>44470</v>
      </c>
      <c r="AD21" s="175">
        <v>17671.650000000001</v>
      </c>
      <c r="AE21" s="28">
        <f t="shared" si="1"/>
        <v>3.0366411910445201E-3</v>
      </c>
      <c r="AK21" s="123" t="s">
        <v>232</v>
      </c>
      <c r="AL21" s="123">
        <v>58</v>
      </c>
      <c r="AM21" s="123">
        <v>0.15888411883914233</v>
      </c>
      <c r="AN21" s="123">
        <v>2.7393813592955572E-3</v>
      </c>
      <c r="AO21" s="123"/>
      <c r="AP21" s="123"/>
      <c r="AT21" s="39"/>
      <c r="AV21" s="176">
        <v>44470</v>
      </c>
      <c r="AW21" s="175">
        <v>107.62</v>
      </c>
      <c r="AX21" s="28">
        <f t="shared" si="2"/>
        <v>7.2125921498306544E-2</v>
      </c>
      <c r="AZ21" s="177">
        <v>44470</v>
      </c>
      <c r="BA21" s="175">
        <v>17671.650000000001</v>
      </c>
      <c r="BB21" s="28">
        <f t="shared" si="3"/>
        <v>3.0366411910445201E-3</v>
      </c>
      <c r="BH21" s="124" t="s">
        <v>35</v>
      </c>
      <c r="BI21" s="124">
        <v>59</v>
      </c>
      <c r="BJ21" s="124">
        <v>0.12756965467391088</v>
      </c>
      <c r="BK21" s="124"/>
      <c r="BL21" s="124"/>
      <c r="BM21" s="124"/>
      <c r="BQ21" s="39"/>
      <c r="BS21" s="176">
        <v>44470</v>
      </c>
      <c r="BT21" s="175">
        <v>1312.93</v>
      </c>
      <c r="BU21" s="28">
        <f t="shared" si="4"/>
        <v>-5.1022030762113979E-2</v>
      </c>
      <c r="BW21" s="177">
        <v>44470</v>
      </c>
      <c r="BX21" s="175">
        <v>17671.650000000001</v>
      </c>
      <c r="BY21" s="28">
        <f t="shared" si="5"/>
        <v>3.0366411910445201E-3</v>
      </c>
      <c r="CE21" s="123" t="s">
        <v>232</v>
      </c>
      <c r="CF21" s="123">
        <v>58</v>
      </c>
      <c r="CG21" s="123">
        <v>0.38713222388433688</v>
      </c>
      <c r="CH21" s="123">
        <v>6.6746935152471876E-3</v>
      </c>
      <c r="CI21" s="123"/>
      <c r="CJ21" s="123"/>
      <c r="CN21" s="39"/>
      <c r="CO21" s="176">
        <v>44470</v>
      </c>
      <c r="CP21" s="175">
        <v>509.46</v>
      </c>
      <c r="CQ21" s="28">
        <f t="shared" si="6"/>
        <v>0.14864834396771354</v>
      </c>
      <c r="CS21" s="177">
        <v>44470</v>
      </c>
      <c r="CT21" s="175">
        <v>17671.650000000001</v>
      </c>
      <c r="CU21" s="28">
        <f t="shared" si="7"/>
        <v>3.0366411910445201E-3</v>
      </c>
      <c r="DA21" s="123" t="s">
        <v>232</v>
      </c>
      <c r="DB21" s="123">
        <v>58</v>
      </c>
      <c r="DC21" s="123">
        <v>1.1080650752020464</v>
      </c>
      <c r="DD21" s="123">
        <v>1.9104570262104249E-2</v>
      </c>
      <c r="DE21" s="123"/>
      <c r="DF21" s="123"/>
      <c r="DL21" s="176">
        <v>44470</v>
      </c>
      <c r="DM21" s="175">
        <v>567.44000000000005</v>
      </c>
      <c r="DN21" s="28">
        <f t="shared" si="8"/>
        <v>-4.9912097111762144E-2</v>
      </c>
      <c r="DP21" s="177">
        <v>44470</v>
      </c>
      <c r="DQ21" s="175">
        <v>17671.650000000001</v>
      </c>
      <c r="DR21" s="28">
        <f t="shared" si="9"/>
        <v>3.0366411910445201E-3</v>
      </c>
      <c r="DX21" s="123" t="s">
        <v>232</v>
      </c>
      <c r="DY21" s="123">
        <v>58</v>
      </c>
      <c r="DZ21" s="123">
        <v>0.12706620903578031</v>
      </c>
      <c r="EA21" s="123">
        <v>2.1907967075134537E-3</v>
      </c>
      <c r="EB21" s="123"/>
      <c r="EC21" s="123"/>
      <c r="EG21" s="39"/>
    </row>
    <row r="22" spans="2:137" ht="15.75" thickBot="1" x14ac:dyDescent="0.3">
      <c r="B22" s="176">
        <v>44501</v>
      </c>
      <c r="C22" s="175">
        <v>115.39</v>
      </c>
      <c r="D22" s="28">
        <f t="shared" si="10"/>
        <v>4.9858975525429949E-2</v>
      </c>
      <c r="F22" s="177">
        <v>44501</v>
      </c>
      <c r="G22" s="175">
        <v>16983.2</v>
      </c>
      <c r="H22" s="28">
        <f t="shared" si="11"/>
        <v>-3.8957878862471818E-2</v>
      </c>
      <c r="N22" s="124" t="s">
        <v>35</v>
      </c>
      <c r="O22" s="124">
        <v>59</v>
      </c>
      <c r="P22" s="124">
        <v>0.54379675319142029</v>
      </c>
      <c r="Q22" s="124"/>
      <c r="R22" s="124"/>
      <c r="S22" s="124"/>
      <c r="Y22" s="176">
        <v>44501</v>
      </c>
      <c r="Z22" s="175">
        <v>761.58</v>
      </c>
      <c r="AA22" s="28">
        <f t="shared" si="0"/>
        <v>-3.750979450496672E-2</v>
      </c>
      <c r="AC22" s="177">
        <v>44501</v>
      </c>
      <c r="AD22" s="175">
        <v>16983.2</v>
      </c>
      <c r="AE22" s="28">
        <f t="shared" si="1"/>
        <v>-3.8957878862471818E-2</v>
      </c>
      <c r="AK22" s="124" t="s">
        <v>35</v>
      </c>
      <c r="AL22" s="124">
        <v>59</v>
      </c>
      <c r="AM22" s="124">
        <v>0.27440810850255642</v>
      </c>
      <c r="AN22" s="124"/>
      <c r="AO22" s="124"/>
      <c r="AP22" s="124"/>
      <c r="AT22" s="39"/>
      <c r="AV22" s="176">
        <v>44501</v>
      </c>
      <c r="AW22" s="175">
        <v>105.1</v>
      </c>
      <c r="AX22" s="28">
        <f t="shared" si="2"/>
        <v>-2.3415721984761273E-2</v>
      </c>
      <c r="AZ22" s="177">
        <v>44501</v>
      </c>
      <c r="BA22" s="175">
        <v>16983.2</v>
      </c>
      <c r="BB22" s="28">
        <f t="shared" si="3"/>
        <v>-3.8957878862471818E-2</v>
      </c>
      <c r="BQ22" s="39"/>
      <c r="BS22" s="176">
        <v>44501</v>
      </c>
      <c r="BT22" s="175">
        <v>1306</v>
      </c>
      <c r="BU22" s="28">
        <f t="shared" si="4"/>
        <v>-5.2782707379678273E-3</v>
      </c>
      <c r="BW22" s="177">
        <v>44501</v>
      </c>
      <c r="BX22" s="175">
        <v>16983.2</v>
      </c>
      <c r="BY22" s="28">
        <f t="shared" si="5"/>
        <v>-3.8957878862471818E-2</v>
      </c>
      <c r="CE22" s="124" t="s">
        <v>35</v>
      </c>
      <c r="CF22" s="124">
        <v>59</v>
      </c>
      <c r="CG22" s="124">
        <v>0.43202365148228156</v>
      </c>
      <c r="CH22" s="124"/>
      <c r="CI22" s="124"/>
      <c r="CJ22" s="124"/>
      <c r="CN22" s="39"/>
      <c r="CO22" s="176">
        <v>44501</v>
      </c>
      <c r="CP22" s="175">
        <v>415.77</v>
      </c>
      <c r="CQ22" s="28">
        <f t="shared" si="6"/>
        <v>-0.18390060063596747</v>
      </c>
      <c r="CS22" s="177">
        <v>44501</v>
      </c>
      <c r="CT22" s="175">
        <v>16983.2</v>
      </c>
      <c r="CU22" s="28">
        <f t="shared" si="7"/>
        <v>-3.8957878862471818E-2</v>
      </c>
      <c r="DA22" s="124" t="s">
        <v>35</v>
      </c>
      <c r="DB22" s="124">
        <v>59</v>
      </c>
      <c r="DC22" s="124">
        <v>1.3022161293647649</v>
      </c>
      <c r="DD22" s="124"/>
      <c r="DE22" s="124"/>
      <c r="DF22" s="124"/>
      <c r="DL22" s="176">
        <v>44501</v>
      </c>
      <c r="DM22" s="175">
        <v>576.24</v>
      </c>
      <c r="DN22" s="28">
        <f t="shared" si="8"/>
        <v>1.5508247568024824E-2</v>
      </c>
      <c r="DP22" s="177">
        <v>44501</v>
      </c>
      <c r="DQ22" s="175">
        <v>16983.2</v>
      </c>
      <c r="DR22" s="28">
        <f t="shared" si="9"/>
        <v>-3.8957878862471818E-2</v>
      </c>
      <c r="DX22" s="124" t="s">
        <v>35</v>
      </c>
      <c r="DY22" s="124">
        <v>59</v>
      </c>
      <c r="DZ22" s="124">
        <v>0.15511661148874256</v>
      </c>
      <c r="EA22" s="124"/>
      <c r="EB22" s="124"/>
      <c r="EC22" s="124"/>
      <c r="EG22" s="39"/>
    </row>
    <row r="23" spans="2:137" ht="15.75" thickBot="1" x14ac:dyDescent="0.3">
      <c r="B23" s="176">
        <v>44531</v>
      </c>
      <c r="C23" s="175">
        <v>114.52</v>
      </c>
      <c r="D23" s="28">
        <f t="shared" si="10"/>
        <v>-7.5396481497530532E-3</v>
      </c>
      <c r="F23" s="177">
        <v>44531</v>
      </c>
      <c r="G23" s="175">
        <v>17354.05</v>
      </c>
      <c r="H23" s="28">
        <f t="shared" si="11"/>
        <v>2.1836285270149247E-2</v>
      </c>
      <c r="Y23" s="176">
        <v>44531</v>
      </c>
      <c r="Z23" s="175">
        <v>726.96</v>
      </c>
      <c r="AA23" s="28">
        <f t="shared" si="0"/>
        <v>-4.5458126526431886E-2</v>
      </c>
      <c r="AC23" s="177">
        <v>44531</v>
      </c>
      <c r="AD23" s="175">
        <v>17354.05</v>
      </c>
      <c r="AE23" s="28">
        <f t="shared" si="1"/>
        <v>2.1836285270149247E-2</v>
      </c>
      <c r="AT23" s="39"/>
      <c r="AV23" s="176">
        <v>44531</v>
      </c>
      <c r="AW23" s="175">
        <v>113.51</v>
      </c>
      <c r="AX23" s="28">
        <f t="shared" si="2"/>
        <v>8.0019029495718375E-2</v>
      </c>
      <c r="AZ23" s="177">
        <v>44531</v>
      </c>
      <c r="BA23" s="175">
        <v>17354.05</v>
      </c>
      <c r="BB23" s="28">
        <f t="shared" si="3"/>
        <v>2.1836285270149247E-2</v>
      </c>
      <c r="BH23" s="126"/>
      <c r="BI23" s="126" t="s">
        <v>233</v>
      </c>
      <c r="BJ23" s="126" t="s">
        <v>223</v>
      </c>
      <c r="BK23" s="126" t="s">
        <v>234</v>
      </c>
      <c r="BL23" s="126" t="s">
        <v>235</v>
      </c>
      <c r="BM23" s="126" t="s">
        <v>236</v>
      </c>
      <c r="BN23" s="126" t="s">
        <v>237</v>
      </c>
      <c r="BO23" s="126" t="s">
        <v>238</v>
      </c>
      <c r="BP23" s="126" t="s">
        <v>239</v>
      </c>
      <c r="BQ23" s="39"/>
      <c r="BS23" s="176">
        <v>44531</v>
      </c>
      <c r="BT23" s="175">
        <v>1239.3900000000001</v>
      </c>
      <c r="BU23" s="28">
        <f t="shared" si="4"/>
        <v>-5.1003062787136177E-2</v>
      </c>
      <c r="BW23" s="177">
        <v>44531</v>
      </c>
      <c r="BX23" s="175">
        <v>17354.05</v>
      </c>
      <c r="BY23" s="28">
        <f t="shared" si="5"/>
        <v>2.1836285270149247E-2</v>
      </c>
      <c r="CN23" s="39"/>
      <c r="CO23" s="176">
        <v>44531</v>
      </c>
      <c r="CP23" s="175">
        <v>399.78</v>
      </c>
      <c r="CQ23" s="28">
        <f t="shared" si="6"/>
        <v>-3.8458763258532369E-2</v>
      </c>
      <c r="CS23" s="177">
        <v>44531</v>
      </c>
      <c r="CT23" s="175">
        <v>17354.05</v>
      </c>
      <c r="CU23" s="28">
        <f t="shared" si="7"/>
        <v>2.1836285270149247E-2</v>
      </c>
      <c r="DL23" s="176">
        <v>44531</v>
      </c>
      <c r="DM23" s="175">
        <v>564.05999999999995</v>
      </c>
      <c r="DN23" s="28">
        <f t="shared" si="8"/>
        <v>-2.1137026239067214E-2</v>
      </c>
      <c r="DP23" s="177">
        <v>44531</v>
      </c>
      <c r="DQ23" s="175">
        <v>17354.05</v>
      </c>
      <c r="DR23" s="28">
        <f t="shared" si="9"/>
        <v>2.1836285270149247E-2</v>
      </c>
      <c r="EG23" s="39"/>
    </row>
    <row r="24" spans="2:137" x14ac:dyDescent="0.25">
      <c r="B24" s="176">
        <v>44562</v>
      </c>
      <c r="C24" s="175">
        <v>116.73</v>
      </c>
      <c r="D24" s="28">
        <f t="shared" si="10"/>
        <v>1.9297939224589555E-2</v>
      </c>
      <c r="F24" s="177">
        <v>44562</v>
      </c>
      <c r="G24" s="175">
        <v>17339.849999999999</v>
      </c>
      <c r="H24" s="28">
        <f t="shared" si="11"/>
        <v>-8.1825279977876253E-4</v>
      </c>
      <c r="N24" s="126"/>
      <c r="O24" s="126" t="s">
        <v>233</v>
      </c>
      <c r="P24" s="126" t="s">
        <v>223</v>
      </c>
      <c r="Q24" s="126" t="s">
        <v>234</v>
      </c>
      <c r="R24" s="126" t="s">
        <v>235</v>
      </c>
      <c r="S24" s="126" t="s">
        <v>236</v>
      </c>
      <c r="T24" s="126" t="s">
        <v>237</v>
      </c>
      <c r="U24" s="126" t="s">
        <v>238</v>
      </c>
      <c r="V24" s="126" t="s">
        <v>239</v>
      </c>
      <c r="Y24" s="176">
        <v>44562</v>
      </c>
      <c r="Z24" s="175">
        <v>712.29</v>
      </c>
      <c r="AA24" s="28">
        <f t="shared" si="0"/>
        <v>-2.0179927368768724E-2</v>
      </c>
      <c r="AC24" s="177">
        <v>44562</v>
      </c>
      <c r="AD24" s="175">
        <v>17339.849999999999</v>
      </c>
      <c r="AE24" s="28">
        <f t="shared" si="1"/>
        <v>-8.1825279977876253E-4</v>
      </c>
      <c r="AK24" s="126"/>
      <c r="AL24" s="126" t="s">
        <v>233</v>
      </c>
      <c r="AM24" s="126" t="s">
        <v>223</v>
      </c>
      <c r="AN24" s="126" t="s">
        <v>234</v>
      </c>
      <c r="AO24" s="126" t="s">
        <v>235</v>
      </c>
      <c r="AP24" s="126" t="s">
        <v>236</v>
      </c>
      <c r="AQ24" s="126" t="s">
        <v>237</v>
      </c>
      <c r="AR24" s="126" t="s">
        <v>238</v>
      </c>
      <c r="AS24" s="126" t="s">
        <v>239</v>
      </c>
      <c r="AT24" s="39"/>
      <c r="AV24" s="176">
        <v>44562</v>
      </c>
      <c r="AW24" s="175">
        <v>106.07</v>
      </c>
      <c r="AX24" s="28">
        <f t="shared" si="2"/>
        <v>-6.5544885913135453E-2</v>
      </c>
      <c r="AZ24" s="177">
        <v>44562</v>
      </c>
      <c r="BA24" s="175">
        <v>17339.849999999999</v>
      </c>
      <c r="BB24" s="28">
        <f t="shared" si="3"/>
        <v>-8.1825279977876253E-4</v>
      </c>
      <c r="BH24" s="123" t="s">
        <v>240</v>
      </c>
      <c r="BI24" s="123">
        <v>-3.2886733680862409E-3</v>
      </c>
      <c r="BJ24" s="123">
        <v>6.4330497108918893E-3</v>
      </c>
      <c r="BK24" s="123">
        <v>-0.51121528915253689</v>
      </c>
      <c r="BL24" s="123">
        <v>0.61114098076228118</v>
      </c>
      <c r="BM24" s="123">
        <v>-1.6165821346913075E-2</v>
      </c>
      <c r="BN24" s="123">
        <v>9.5884746107405949E-3</v>
      </c>
      <c r="BO24" s="123">
        <v>-1.6165821346913075E-2</v>
      </c>
      <c r="BP24" s="123">
        <v>9.5884746107405949E-3</v>
      </c>
      <c r="BQ24" s="39"/>
      <c r="BS24" s="176">
        <v>44562</v>
      </c>
      <c r="BT24" s="175">
        <v>1003.84</v>
      </c>
      <c r="BU24" s="28">
        <f t="shared" si="4"/>
        <v>-0.19005317131814847</v>
      </c>
      <c r="BW24" s="177">
        <v>44562</v>
      </c>
      <c r="BX24" s="175">
        <v>17339.849999999999</v>
      </c>
      <c r="BY24" s="28">
        <f t="shared" si="5"/>
        <v>-8.1825279977876253E-4</v>
      </c>
      <c r="CE24" s="126"/>
      <c r="CF24" s="126" t="s">
        <v>233</v>
      </c>
      <c r="CG24" s="126" t="s">
        <v>223</v>
      </c>
      <c r="CH24" s="126" t="s">
        <v>234</v>
      </c>
      <c r="CI24" s="126" t="s">
        <v>235</v>
      </c>
      <c r="CJ24" s="126" t="s">
        <v>236</v>
      </c>
      <c r="CK24" s="126" t="s">
        <v>237</v>
      </c>
      <c r="CL24" s="126" t="s">
        <v>238</v>
      </c>
      <c r="CM24" s="126" t="s">
        <v>239</v>
      </c>
      <c r="CN24" s="39"/>
      <c r="CO24" s="176">
        <v>44562</v>
      </c>
      <c r="CP24" s="175">
        <v>371.25</v>
      </c>
      <c r="CQ24" s="28">
        <f t="shared" si="6"/>
        <v>-7.1364250337685675E-2</v>
      </c>
      <c r="CS24" s="177">
        <v>44562</v>
      </c>
      <c r="CT24" s="175">
        <v>17339.849999999999</v>
      </c>
      <c r="CU24" s="28">
        <f t="shared" si="7"/>
        <v>-8.1825279977876253E-4</v>
      </c>
      <c r="DA24" s="126"/>
      <c r="DB24" s="126" t="s">
        <v>233</v>
      </c>
      <c r="DC24" s="126" t="s">
        <v>223</v>
      </c>
      <c r="DD24" s="126" t="s">
        <v>234</v>
      </c>
      <c r="DE24" s="126" t="s">
        <v>235</v>
      </c>
      <c r="DF24" s="126" t="s">
        <v>236</v>
      </c>
      <c r="DG24" s="126" t="s">
        <v>237</v>
      </c>
      <c r="DH24" s="126" t="s">
        <v>238</v>
      </c>
      <c r="DI24" s="126" t="s">
        <v>239</v>
      </c>
      <c r="DL24" s="176">
        <v>44562</v>
      </c>
      <c r="DM24" s="175">
        <v>522.12</v>
      </c>
      <c r="DN24" s="28">
        <f t="shared" si="8"/>
        <v>-7.4353792149771225E-2</v>
      </c>
      <c r="DP24" s="177">
        <v>44562</v>
      </c>
      <c r="DQ24" s="175">
        <v>17339.849999999999</v>
      </c>
      <c r="DR24" s="28">
        <f t="shared" si="9"/>
        <v>-8.1825279977876253E-4</v>
      </c>
      <c r="DX24" s="126"/>
      <c r="DY24" s="126" t="s">
        <v>233</v>
      </c>
      <c r="DZ24" s="126" t="s">
        <v>223</v>
      </c>
      <c r="EA24" s="126" t="s">
        <v>234</v>
      </c>
      <c r="EB24" s="126" t="s">
        <v>235</v>
      </c>
      <c r="EC24" s="126" t="s">
        <v>236</v>
      </c>
      <c r="ED24" s="126" t="s">
        <v>237</v>
      </c>
      <c r="EE24" s="126" t="s">
        <v>238</v>
      </c>
      <c r="EF24" s="126" t="s">
        <v>239</v>
      </c>
      <c r="EG24" s="39"/>
    </row>
    <row r="25" spans="2:137" ht="15.75" thickBot="1" x14ac:dyDescent="0.3">
      <c r="B25" s="176">
        <v>44593</v>
      </c>
      <c r="C25" s="175">
        <v>122.07</v>
      </c>
      <c r="D25" s="28">
        <f t="shared" si="10"/>
        <v>4.5746594705731169E-2</v>
      </c>
      <c r="F25" s="177">
        <v>44593</v>
      </c>
      <c r="G25" s="175">
        <v>16793.900000000001</v>
      </c>
      <c r="H25" s="28">
        <f t="shared" si="11"/>
        <v>-3.1485278131010208E-2</v>
      </c>
      <c r="N25" s="123" t="s">
        <v>240</v>
      </c>
      <c r="O25" s="123">
        <v>2.2469426232109044E-2</v>
      </c>
      <c r="P25" s="123">
        <v>1.1764867424786035E-2</v>
      </c>
      <c r="Q25" s="123">
        <v>1.9098750050315754</v>
      </c>
      <c r="R25" s="123">
        <v>6.1098665484667414E-2</v>
      </c>
      <c r="S25" s="123">
        <v>-1.0805144008299201E-3</v>
      </c>
      <c r="T25" s="123">
        <v>4.6019366865048011E-2</v>
      </c>
      <c r="U25" s="123">
        <v>-1.0805144008299201E-3</v>
      </c>
      <c r="V25" s="123">
        <v>4.6019366865048011E-2</v>
      </c>
      <c r="Y25" s="176">
        <v>44593</v>
      </c>
      <c r="Z25" s="175">
        <v>702.46</v>
      </c>
      <c r="AA25" s="28">
        <f t="shared" si="0"/>
        <v>-1.3800558761178583E-2</v>
      </c>
      <c r="AC25" s="177">
        <v>44593</v>
      </c>
      <c r="AD25" s="175">
        <v>16793.900000000001</v>
      </c>
      <c r="AE25" s="28">
        <f t="shared" si="1"/>
        <v>-3.1485278131010208E-2</v>
      </c>
      <c r="AK25" s="123" t="s">
        <v>240</v>
      </c>
      <c r="AL25" s="123">
        <v>-1.4920681395748613E-3</v>
      </c>
      <c r="AM25" s="123">
        <v>7.1916677132915713E-3</v>
      </c>
      <c r="AN25" s="123">
        <v>-0.2074717852741215</v>
      </c>
      <c r="AO25" s="123">
        <v>0.83636816848743156</v>
      </c>
      <c r="AP25" s="123">
        <v>-1.5887755025347023E-2</v>
      </c>
      <c r="AQ25" s="123">
        <v>1.2903618746197301E-2</v>
      </c>
      <c r="AR25" s="123">
        <v>-1.5887755025347023E-2</v>
      </c>
      <c r="AS25" s="123">
        <v>1.2903618746197301E-2</v>
      </c>
      <c r="AT25" s="39"/>
      <c r="AV25" s="176">
        <v>44593</v>
      </c>
      <c r="AW25" s="175">
        <v>106.69</v>
      </c>
      <c r="AX25" s="28">
        <f t="shared" si="2"/>
        <v>5.8451965683039564E-3</v>
      </c>
      <c r="AZ25" s="177">
        <v>44593</v>
      </c>
      <c r="BA25" s="175">
        <v>16793.900000000001</v>
      </c>
      <c r="BB25" s="28">
        <f t="shared" si="3"/>
        <v>-3.1485278131010208E-2</v>
      </c>
      <c r="BH25" s="124" t="s">
        <v>292</v>
      </c>
      <c r="BI25" s="124">
        <v>7.0206826935484953E-2</v>
      </c>
      <c r="BJ25" s="124">
        <v>0.15712890669923754</v>
      </c>
      <c r="BK25" s="124">
        <v>0.44681038269978385</v>
      </c>
      <c r="BL25" s="124">
        <v>0.65667596246057969</v>
      </c>
      <c r="BM25" s="124">
        <v>-0.24432085033266307</v>
      </c>
      <c r="BN25" s="124">
        <v>0.38473450420363298</v>
      </c>
      <c r="BO25" s="124">
        <v>-0.24432085033266307</v>
      </c>
      <c r="BP25" s="124">
        <v>0.38473450420363298</v>
      </c>
      <c r="BQ25" s="39"/>
      <c r="BS25" s="176">
        <v>44593</v>
      </c>
      <c r="BT25" s="175">
        <v>1070.6500000000001</v>
      </c>
      <c r="BU25" s="28">
        <f t="shared" si="4"/>
        <v>6.6554430985017676E-2</v>
      </c>
      <c r="BW25" s="177">
        <v>44593</v>
      </c>
      <c r="BX25" s="175">
        <v>16793.900000000001</v>
      </c>
      <c r="BY25" s="28">
        <f t="shared" si="5"/>
        <v>-3.1485278131010208E-2</v>
      </c>
      <c r="CE25" s="123" t="s">
        <v>240</v>
      </c>
      <c r="CF25" s="123">
        <v>2.7089539300924302E-3</v>
      </c>
      <c r="CG25" s="123">
        <v>1.1225844683266451E-2</v>
      </c>
      <c r="CH25" s="123">
        <v>0.24131403974709098</v>
      </c>
      <c r="CI25" s="123">
        <v>0.8101628159348836</v>
      </c>
      <c r="CJ25" s="123">
        <v>-1.9762015465495674E-2</v>
      </c>
      <c r="CK25" s="123">
        <v>2.5179923325680535E-2</v>
      </c>
      <c r="CL25" s="123">
        <v>-1.9762015465495674E-2</v>
      </c>
      <c r="CM25" s="123">
        <v>2.5179923325680535E-2</v>
      </c>
      <c r="CN25" s="39"/>
      <c r="CO25" s="176">
        <v>44593</v>
      </c>
      <c r="CP25" s="175">
        <v>301.63</v>
      </c>
      <c r="CQ25" s="28">
        <f t="shared" si="6"/>
        <v>-0.18752861952861954</v>
      </c>
      <c r="CS25" s="177">
        <v>44593</v>
      </c>
      <c r="CT25" s="175">
        <v>16793.900000000001</v>
      </c>
      <c r="CU25" s="28">
        <f t="shared" si="7"/>
        <v>-3.1485278131010208E-2</v>
      </c>
      <c r="DA25" s="123" t="s">
        <v>240</v>
      </c>
      <c r="DB25" s="123">
        <v>-3.0827532189688714E-3</v>
      </c>
      <c r="DC25" s="123">
        <v>1.8992056838141803E-2</v>
      </c>
      <c r="DD25" s="123">
        <v>-0.16231802828105321</v>
      </c>
      <c r="DE25" s="123">
        <v>0.87161959845029457</v>
      </c>
      <c r="DF25" s="123">
        <v>-4.1099485145191683E-2</v>
      </c>
      <c r="DG25" s="123">
        <v>3.493397870725394E-2</v>
      </c>
      <c r="DH25" s="123">
        <v>-4.1099485145191683E-2</v>
      </c>
      <c r="DI25" s="123">
        <v>3.493397870725394E-2</v>
      </c>
      <c r="DL25" s="176">
        <v>44593</v>
      </c>
      <c r="DM25" s="175">
        <v>547.87</v>
      </c>
      <c r="DN25" s="28">
        <f t="shared" si="8"/>
        <v>4.9318164406649823E-2</v>
      </c>
      <c r="DP25" s="177">
        <v>44593</v>
      </c>
      <c r="DQ25" s="175">
        <v>16793.900000000001</v>
      </c>
      <c r="DR25" s="28">
        <f t="shared" si="9"/>
        <v>-3.1485278131010208E-2</v>
      </c>
      <c r="DX25" s="123" t="s">
        <v>240</v>
      </c>
      <c r="DY25" s="123">
        <v>-3.9938579573015817E-3</v>
      </c>
      <c r="DZ25" s="123">
        <v>6.4313834623521198E-3</v>
      </c>
      <c r="EA25" s="123">
        <v>-0.62099515301501351</v>
      </c>
      <c r="EB25" s="123">
        <v>0.53703573370814972</v>
      </c>
      <c r="EC25" s="123">
        <v>-1.6867670577320325E-2</v>
      </c>
      <c r="ED25" s="123">
        <v>8.8799546627171613E-3</v>
      </c>
      <c r="EE25" s="123">
        <v>-1.6867670577320325E-2</v>
      </c>
      <c r="EF25" s="123">
        <v>8.8799546627171613E-3</v>
      </c>
      <c r="EG25" s="39"/>
    </row>
    <row r="26" spans="2:137" ht="15.75" thickBot="1" x14ac:dyDescent="0.3">
      <c r="B26" s="176">
        <v>44621</v>
      </c>
      <c r="C26" s="175">
        <v>121.56</v>
      </c>
      <c r="D26" s="28">
        <f t="shared" si="10"/>
        <v>-4.1779306955025408E-3</v>
      </c>
      <c r="F26" s="177">
        <v>44621</v>
      </c>
      <c r="G26" s="175">
        <v>17464.75</v>
      </c>
      <c r="H26" s="28">
        <f t="shared" si="11"/>
        <v>3.9946051840251462E-2</v>
      </c>
      <c r="N26" s="124" t="s">
        <v>292</v>
      </c>
      <c r="O26" s="124">
        <v>1.1557800962615201</v>
      </c>
      <c r="P26" s="124">
        <v>0.28735993642147845</v>
      </c>
      <c r="Q26" s="124">
        <v>4.0220641424638499</v>
      </c>
      <c r="R26" s="124">
        <v>1.6891436596224661E-4</v>
      </c>
      <c r="S26" s="124">
        <v>0.58056669192228605</v>
      </c>
      <c r="T26" s="124">
        <v>1.7309935006007542</v>
      </c>
      <c r="U26" s="124">
        <v>0.58056669192228605</v>
      </c>
      <c r="V26" s="124">
        <v>1.7309935006007542</v>
      </c>
      <c r="Y26" s="176">
        <v>44621</v>
      </c>
      <c r="Z26" s="175">
        <v>760.06</v>
      </c>
      <c r="AA26" s="28">
        <f t="shared" si="0"/>
        <v>8.1997551462004825E-2</v>
      </c>
      <c r="AC26" s="177">
        <v>44621</v>
      </c>
      <c r="AD26" s="175">
        <v>17464.75</v>
      </c>
      <c r="AE26" s="28">
        <f t="shared" si="1"/>
        <v>3.9946051840251462E-2</v>
      </c>
      <c r="AK26" s="124" t="s">
        <v>292</v>
      </c>
      <c r="AL26" s="124">
        <v>1.1407188957372039</v>
      </c>
      <c r="AM26" s="124">
        <v>0.17565834804920891</v>
      </c>
      <c r="AN26" s="124">
        <v>6.4939634717368682</v>
      </c>
      <c r="AO26" s="124">
        <v>2.0633952055982829E-8</v>
      </c>
      <c r="AP26" s="124">
        <v>0.78910051204647269</v>
      </c>
      <c r="AQ26" s="124">
        <v>1.492337279427935</v>
      </c>
      <c r="AR26" s="124">
        <v>0.78910051204647269</v>
      </c>
      <c r="AS26" s="124">
        <v>1.492337279427935</v>
      </c>
      <c r="AT26" s="39"/>
      <c r="AV26" s="176">
        <v>44621</v>
      </c>
      <c r="AW26" s="175">
        <v>107.06</v>
      </c>
      <c r="AX26" s="28">
        <f t="shared" si="2"/>
        <v>3.467991376886248E-3</v>
      </c>
      <c r="AZ26" s="177">
        <v>44621</v>
      </c>
      <c r="BA26" s="175">
        <v>17464.75</v>
      </c>
      <c r="BB26" s="28">
        <f t="shared" si="3"/>
        <v>3.9946051840251462E-2</v>
      </c>
      <c r="BQ26" s="39"/>
      <c r="BS26" s="176">
        <v>44621</v>
      </c>
      <c r="BT26" s="175">
        <v>1052.92</v>
      </c>
      <c r="BU26" s="28">
        <f t="shared" si="4"/>
        <v>-1.6560033624433812E-2</v>
      </c>
      <c r="BW26" s="177">
        <v>44621</v>
      </c>
      <c r="BX26" s="175">
        <v>17464.75</v>
      </c>
      <c r="BY26" s="28">
        <f t="shared" si="5"/>
        <v>3.9946051840251462E-2</v>
      </c>
      <c r="CE26" s="124" t="s">
        <v>292</v>
      </c>
      <c r="CF26" s="124">
        <v>0.71108948127497917</v>
      </c>
      <c r="CG26" s="124">
        <v>0.27419416623978726</v>
      </c>
      <c r="CH26" s="124">
        <v>2.5933793232242581</v>
      </c>
      <c r="CI26" s="124">
        <v>1.2010644899865974E-2</v>
      </c>
      <c r="CJ26" s="124">
        <v>0.16223022908815529</v>
      </c>
      <c r="CK26" s="124">
        <v>1.2599487334618031</v>
      </c>
      <c r="CL26" s="124">
        <v>0.16223022908815529</v>
      </c>
      <c r="CM26" s="124">
        <v>1.2599487334618031</v>
      </c>
      <c r="CN26" s="39"/>
      <c r="CO26" s="176">
        <v>44621</v>
      </c>
      <c r="CP26" s="175">
        <v>312.48</v>
      </c>
      <c r="CQ26" s="28">
        <f t="shared" si="6"/>
        <v>3.5971223021582732E-2</v>
      </c>
      <c r="CS26" s="177">
        <v>44621</v>
      </c>
      <c r="CT26" s="175">
        <v>17464.75</v>
      </c>
      <c r="CU26" s="28">
        <f t="shared" si="7"/>
        <v>3.9946051840251462E-2</v>
      </c>
      <c r="DA26" s="124" t="s">
        <v>292</v>
      </c>
      <c r="DB26" s="124">
        <v>1.4788101493545942</v>
      </c>
      <c r="DC26" s="124">
        <v>0.46388591120233469</v>
      </c>
      <c r="DD26" s="124">
        <v>3.1878746770336308</v>
      </c>
      <c r="DE26" s="124">
        <v>2.3104567240481481E-3</v>
      </c>
      <c r="DF26" s="124">
        <v>0.55024161774018376</v>
      </c>
      <c r="DG26" s="124">
        <v>2.4073786809690048</v>
      </c>
      <c r="DH26" s="124">
        <v>0.55024161774018376</v>
      </c>
      <c r="DI26" s="124">
        <v>2.4073786809690048</v>
      </c>
      <c r="DL26" s="176">
        <v>44621</v>
      </c>
      <c r="DM26" s="175">
        <v>521.44000000000005</v>
      </c>
      <c r="DN26" s="28">
        <f t="shared" si="8"/>
        <v>-4.8241371128187271E-2</v>
      </c>
      <c r="DP26" s="177">
        <v>44621</v>
      </c>
      <c r="DQ26" s="175">
        <v>17464.75</v>
      </c>
      <c r="DR26" s="28">
        <f t="shared" si="9"/>
        <v>3.9946051840251462E-2</v>
      </c>
      <c r="DX26" s="124" t="s">
        <v>292</v>
      </c>
      <c r="DY26" s="124">
        <v>0.56209807040034143</v>
      </c>
      <c r="DZ26" s="124">
        <v>0.1570882081467454</v>
      </c>
      <c r="EA26" s="124">
        <v>3.5782321094098442</v>
      </c>
      <c r="EB26" s="124">
        <v>7.0669671310328403E-4</v>
      </c>
      <c r="EC26" s="124">
        <v>0.24765186013563939</v>
      </c>
      <c r="ED26" s="124">
        <v>0.87654428066504353</v>
      </c>
      <c r="EE26" s="124">
        <v>0.24765186013563939</v>
      </c>
      <c r="EF26" s="124">
        <v>0.87654428066504353</v>
      </c>
      <c r="EG26" s="39"/>
    </row>
    <row r="27" spans="2:137" x14ac:dyDescent="0.25">
      <c r="B27" s="176">
        <v>44652</v>
      </c>
      <c r="C27" s="175">
        <v>140.08000000000001</v>
      </c>
      <c r="D27" s="28">
        <f t="shared" si="10"/>
        <v>0.15235274761434692</v>
      </c>
      <c r="F27" s="177">
        <v>44652</v>
      </c>
      <c r="G27" s="175">
        <v>17102.55</v>
      </c>
      <c r="H27" s="28">
        <f t="shared" si="11"/>
        <v>-2.0738916961307807E-2</v>
      </c>
      <c r="Y27" s="176">
        <v>44652</v>
      </c>
      <c r="Z27" s="175">
        <v>805.97</v>
      </c>
      <c r="AA27" s="28">
        <f t="shared" si="0"/>
        <v>6.0403126068994561E-2</v>
      </c>
      <c r="AC27" s="177">
        <v>44652</v>
      </c>
      <c r="AD27" s="175">
        <v>17102.55</v>
      </c>
      <c r="AE27" s="28">
        <f t="shared" si="1"/>
        <v>-2.0738916961307807E-2</v>
      </c>
      <c r="AT27" s="39"/>
      <c r="AV27" s="176">
        <v>44652</v>
      </c>
      <c r="AW27" s="175">
        <v>112.23</v>
      </c>
      <c r="AX27" s="28">
        <f t="shared" si="2"/>
        <v>4.829067812441612E-2</v>
      </c>
      <c r="AZ27" s="177">
        <v>44652</v>
      </c>
      <c r="BA27" s="175">
        <v>17102.55</v>
      </c>
      <c r="BB27" s="28">
        <f t="shared" si="3"/>
        <v>-2.0738916961307807E-2</v>
      </c>
      <c r="BQ27" s="39"/>
      <c r="BS27" s="176">
        <v>44652</v>
      </c>
      <c r="BT27" s="175">
        <v>1038.67</v>
      </c>
      <c r="BU27" s="28">
        <f t="shared" si="4"/>
        <v>-1.353379174106295E-2</v>
      </c>
      <c r="BW27" s="177">
        <v>44652</v>
      </c>
      <c r="BX27" s="175">
        <v>17102.55</v>
      </c>
      <c r="BY27" s="28">
        <f t="shared" si="5"/>
        <v>-2.0738916961307807E-2</v>
      </c>
      <c r="CN27" s="39"/>
      <c r="CO27" s="176">
        <v>44652</v>
      </c>
      <c r="CP27" s="175">
        <v>305.93</v>
      </c>
      <c r="CQ27" s="28">
        <f t="shared" si="6"/>
        <v>-2.0961341525857713E-2</v>
      </c>
      <c r="CS27" s="177">
        <v>44652</v>
      </c>
      <c r="CT27" s="175">
        <v>17102.55</v>
      </c>
      <c r="CU27" s="28">
        <f t="shared" si="7"/>
        <v>-2.0738916961307807E-2</v>
      </c>
      <c r="DL27" s="176">
        <v>44652</v>
      </c>
      <c r="DM27" s="175">
        <v>541.16999999999996</v>
      </c>
      <c r="DN27" s="28">
        <f t="shared" si="8"/>
        <v>3.7837526848726322E-2</v>
      </c>
      <c r="DP27" s="177">
        <v>44652</v>
      </c>
      <c r="DQ27" s="175">
        <v>17102.55</v>
      </c>
      <c r="DR27" s="28">
        <f t="shared" si="9"/>
        <v>-2.0738916961307807E-2</v>
      </c>
      <c r="EG27" s="39"/>
    </row>
    <row r="28" spans="2:137" x14ac:dyDescent="0.25">
      <c r="B28" s="176">
        <v>44682</v>
      </c>
      <c r="C28" s="175">
        <v>136.65</v>
      </c>
      <c r="D28" s="28">
        <f t="shared" si="10"/>
        <v>-2.4486007995431214E-2</v>
      </c>
      <c r="F28" s="177">
        <v>44682</v>
      </c>
      <c r="G28" s="175">
        <v>16584.55</v>
      </c>
      <c r="H28" s="28">
        <f t="shared" si="11"/>
        <v>-3.0287881046978327E-2</v>
      </c>
      <c r="Y28" s="176">
        <v>44682</v>
      </c>
      <c r="Z28" s="175">
        <v>747.4</v>
      </c>
      <c r="AA28" s="28">
        <f t="shared" si="0"/>
        <v>-7.2670198642629469E-2</v>
      </c>
      <c r="AC28" s="177">
        <v>44682</v>
      </c>
      <c r="AD28" s="175">
        <v>16584.55</v>
      </c>
      <c r="AE28" s="28">
        <f t="shared" si="1"/>
        <v>-3.0287881046978327E-2</v>
      </c>
      <c r="AT28" s="39"/>
      <c r="AV28" s="176">
        <v>44682</v>
      </c>
      <c r="AW28" s="175">
        <v>106.61</v>
      </c>
      <c r="AX28" s="28">
        <f t="shared" si="2"/>
        <v>-5.0075737325135927E-2</v>
      </c>
      <c r="AZ28" s="177">
        <v>44682</v>
      </c>
      <c r="BA28" s="175">
        <v>16584.55</v>
      </c>
      <c r="BB28" s="28">
        <f t="shared" si="3"/>
        <v>-3.0287881046978327E-2</v>
      </c>
      <c r="BS28" s="176">
        <v>44682</v>
      </c>
      <c r="BT28" s="175">
        <v>909.08</v>
      </c>
      <c r="BU28" s="28">
        <f t="shared" si="4"/>
        <v>-0.12476532488663394</v>
      </c>
      <c r="BW28" s="177">
        <v>44682</v>
      </c>
      <c r="BX28" s="175">
        <v>16584.55</v>
      </c>
      <c r="BY28" s="28">
        <f t="shared" si="5"/>
        <v>-3.0287881046978327E-2</v>
      </c>
      <c r="CN28" s="39"/>
      <c r="CO28" s="176">
        <v>44682</v>
      </c>
      <c r="CP28" s="175">
        <v>288.98</v>
      </c>
      <c r="CQ28" s="28">
        <f t="shared" si="6"/>
        <v>-5.540483117052919E-2</v>
      </c>
      <c r="CS28" s="177">
        <v>44682</v>
      </c>
      <c r="CT28" s="175">
        <v>16584.55</v>
      </c>
      <c r="CU28" s="28">
        <f t="shared" si="7"/>
        <v>-3.0287881046978327E-2</v>
      </c>
      <c r="DL28" s="176">
        <v>44682</v>
      </c>
      <c r="DM28" s="175">
        <v>504.14</v>
      </c>
      <c r="DN28" s="28">
        <f t="shared" si="8"/>
        <v>-6.842581813478199E-2</v>
      </c>
      <c r="DP28" s="177">
        <v>44682</v>
      </c>
      <c r="DQ28" s="175">
        <v>16584.55</v>
      </c>
      <c r="DR28" s="28">
        <f t="shared" si="9"/>
        <v>-3.0287881046978327E-2</v>
      </c>
      <c r="EG28" s="39"/>
    </row>
    <row r="29" spans="2:137" x14ac:dyDescent="0.25">
      <c r="B29" s="176">
        <v>44713</v>
      </c>
      <c r="C29" s="175">
        <v>153.19</v>
      </c>
      <c r="D29" s="28">
        <f t="shared" si="10"/>
        <v>0.12103915111598962</v>
      </c>
      <c r="F29" s="177">
        <v>44713</v>
      </c>
      <c r="G29" s="175">
        <v>15780.25</v>
      </c>
      <c r="H29" s="28">
        <f t="shared" si="11"/>
        <v>-4.8496944445281853E-2</v>
      </c>
      <c r="Y29" s="176">
        <v>44713</v>
      </c>
      <c r="Z29" s="175">
        <v>691.61</v>
      </c>
      <c r="AA29" s="28">
        <f t="shared" si="0"/>
        <v>-7.4645437516724589E-2</v>
      </c>
      <c r="AC29" s="177">
        <v>44713</v>
      </c>
      <c r="AD29" s="175">
        <v>15780.25</v>
      </c>
      <c r="AE29" s="28">
        <f t="shared" si="1"/>
        <v>-4.8496944445281853E-2</v>
      </c>
      <c r="AT29" s="39"/>
      <c r="AV29" s="176">
        <v>44713</v>
      </c>
      <c r="AW29" s="175">
        <v>101.55</v>
      </c>
      <c r="AX29" s="28">
        <f t="shared" si="2"/>
        <v>-4.7462714567113817E-2</v>
      </c>
      <c r="AZ29" s="177">
        <v>44713</v>
      </c>
      <c r="BA29" s="175">
        <v>15780.25</v>
      </c>
      <c r="BB29" s="28">
        <f t="shared" si="3"/>
        <v>-4.8496944445281853E-2</v>
      </c>
      <c r="BS29" s="176">
        <v>44713</v>
      </c>
      <c r="BT29" s="175">
        <v>866.39</v>
      </c>
      <c r="BU29" s="28">
        <f t="shared" si="4"/>
        <v>-4.695956351476227E-2</v>
      </c>
      <c r="BW29" s="177">
        <v>44713</v>
      </c>
      <c r="BX29" s="175">
        <v>15780.25</v>
      </c>
      <c r="BY29" s="28">
        <f t="shared" si="5"/>
        <v>-4.8496944445281853E-2</v>
      </c>
      <c r="CN29" s="39"/>
      <c r="CO29" s="176">
        <v>44713</v>
      </c>
      <c r="CP29" s="175">
        <v>258.98</v>
      </c>
      <c r="CQ29" s="28">
        <f t="shared" si="6"/>
        <v>-0.10381341269291988</v>
      </c>
      <c r="CS29" s="177">
        <v>44713</v>
      </c>
      <c r="CT29" s="175">
        <v>15780.25</v>
      </c>
      <c r="CU29" s="28">
        <f t="shared" si="7"/>
        <v>-4.8496944445281853E-2</v>
      </c>
      <c r="DL29" s="176">
        <v>44713</v>
      </c>
      <c r="DM29" s="175">
        <v>481.98</v>
      </c>
      <c r="DN29" s="28">
        <f t="shared" si="8"/>
        <v>-4.3956043956043911E-2</v>
      </c>
      <c r="DP29" s="177">
        <v>44713</v>
      </c>
      <c r="DQ29" s="175">
        <v>15780.25</v>
      </c>
      <c r="DR29" s="28">
        <f t="shared" si="9"/>
        <v>-4.8496944445281853E-2</v>
      </c>
      <c r="EG29" s="39"/>
    </row>
    <row r="30" spans="2:137" x14ac:dyDescent="0.25">
      <c r="B30" s="176">
        <v>44743</v>
      </c>
      <c r="C30" s="175">
        <v>171.13</v>
      </c>
      <c r="D30" s="28">
        <f t="shared" si="10"/>
        <v>0.11710947189764354</v>
      </c>
      <c r="F30" s="177">
        <v>44743</v>
      </c>
      <c r="G30" s="175">
        <v>17158.25</v>
      </c>
      <c r="H30" s="28">
        <f t="shared" si="11"/>
        <v>8.7324345305048956E-2</v>
      </c>
      <c r="Y30" s="176">
        <v>44743</v>
      </c>
      <c r="Z30" s="175">
        <v>799.99</v>
      </c>
      <c r="AA30" s="28">
        <f t="shared" si="0"/>
        <v>0.15670681453420277</v>
      </c>
      <c r="AC30" s="177">
        <v>44743</v>
      </c>
      <c r="AD30" s="175">
        <v>17158.25</v>
      </c>
      <c r="AE30" s="28">
        <f t="shared" si="1"/>
        <v>8.7324345305048956E-2</v>
      </c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V30" s="176">
        <v>44743</v>
      </c>
      <c r="AW30" s="175">
        <v>106.1</v>
      </c>
      <c r="AX30" s="28">
        <f t="shared" si="2"/>
        <v>4.4805514524864476E-2</v>
      </c>
      <c r="AZ30" s="177">
        <v>44743</v>
      </c>
      <c r="BA30" s="175">
        <v>17158.25</v>
      </c>
      <c r="BB30" s="28">
        <f t="shared" si="3"/>
        <v>8.7324345305048956E-2</v>
      </c>
      <c r="BS30" s="176">
        <v>44743</v>
      </c>
      <c r="BT30" s="175">
        <v>974.91</v>
      </c>
      <c r="BU30" s="28">
        <f t="shared" si="4"/>
        <v>0.12525536998349462</v>
      </c>
      <c r="BW30" s="177">
        <v>44743</v>
      </c>
      <c r="BX30" s="175">
        <v>17158.25</v>
      </c>
      <c r="BY30" s="28">
        <f t="shared" si="5"/>
        <v>8.7324345305048956E-2</v>
      </c>
      <c r="CO30" s="176">
        <v>44743</v>
      </c>
      <c r="CP30" s="175">
        <v>273.69</v>
      </c>
      <c r="CQ30" s="28">
        <f t="shared" si="6"/>
        <v>5.679975287666994E-2</v>
      </c>
      <c r="CS30" s="177">
        <v>44743</v>
      </c>
      <c r="CT30" s="175">
        <v>17158.25</v>
      </c>
      <c r="CU30" s="28">
        <f t="shared" si="7"/>
        <v>8.7324345305048956E-2</v>
      </c>
      <c r="DL30" s="176">
        <v>44743</v>
      </c>
      <c r="DM30" s="175">
        <v>567.70000000000005</v>
      </c>
      <c r="DN30" s="28">
        <f t="shared" si="8"/>
        <v>0.1778497033071913</v>
      </c>
      <c r="DP30" s="177">
        <v>44743</v>
      </c>
      <c r="DQ30" s="175">
        <v>17158.25</v>
      </c>
      <c r="DR30" s="28">
        <f t="shared" si="9"/>
        <v>8.7324345305048956E-2</v>
      </c>
      <c r="DX30" s="39"/>
      <c r="DY30" s="39"/>
      <c r="DZ30" s="39"/>
      <c r="EA30" s="39"/>
      <c r="EB30" s="39"/>
      <c r="EC30" s="39"/>
      <c r="ED30" s="39"/>
      <c r="EE30" s="39"/>
      <c r="EF30" s="39"/>
      <c r="EG30" s="39"/>
    </row>
    <row r="31" spans="2:137" x14ac:dyDescent="0.25">
      <c r="B31" s="176">
        <v>44774</v>
      </c>
      <c r="C31" s="175">
        <v>200.33</v>
      </c>
      <c r="D31" s="28">
        <f t="shared" si="10"/>
        <v>0.17063051481329983</v>
      </c>
      <c r="F31" s="177">
        <v>44774</v>
      </c>
      <c r="G31" s="175">
        <v>17759.3</v>
      </c>
      <c r="H31" s="28">
        <f t="shared" si="11"/>
        <v>3.5029796162195925E-2</v>
      </c>
      <c r="Y31" s="176">
        <v>44774</v>
      </c>
      <c r="Z31" s="175">
        <v>798.12</v>
      </c>
      <c r="AA31" s="28">
        <f t="shared" si="0"/>
        <v>-2.3375292191152308E-3</v>
      </c>
      <c r="AC31" s="177">
        <v>44774</v>
      </c>
      <c r="AD31" s="175">
        <v>17759.3</v>
      </c>
      <c r="AE31" s="28">
        <f t="shared" si="1"/>
        <v>3.5029796162195925E-2</v>
      </c>
      <c r="AV31" s="176">
        <v>44774</v>
      </c>
      <c r="AW31" s="175">
        <v>104.41</v>
      </c>
      <c r="AX31" s="28">
        <f t="shared" si="2"/>
        <v>-1.5928369462770986E-2</v>
      </c>
      <c r="AZ31" s="177">
        <v>44774</v>
      </c>
      <c r="BA31" s="175">
        <v>17759.3</v>
      </c>
      <c r="BB31" s="28">
        <f t="shared" si="3"/>
        <v>3.5029796162195925E-2</v>
      </c>
      <c r="BS31" s="176">
        <v>44774</v>
      </c>
      <c r="BT31" s="175">
        <v>1020.65</v>
      </c>
      <c r="BU31" s="28">
        <f t="shared" si="4"/>
        <v>4.6917151326789197E-2</v>
      </c>
      <c r="BW31" s="177">
        <v>44774</v>
      </c>
      <c r="BX31" s="175">
        <v>17759.3</v>
      </c>
      <c r="BY31" s="28">
        <f t="shared" si="5"/>
        <v>3.5029796162195925E-2</v>
      </c>
      <c r="CO31" s="176">
        <v>44774</v>
      </c>
      <c r="CP31" s="175">
        <v>320.83999999999997</v>
      </c>
      <c r="CQ31" s="28">
        <f t="shared" si="6"/>
        <v>0.17227520187072964</v>
      </c>
      <c r="CS31" s="177">
        <v>44774</v>
      </c>
      <c r="CT31" s="175">
        <v>17759.3</v>
      </c>
      <c r="CU31" s="28">
        <f t="shared" si="7"/>
        <v>3.5029796162195925E-2</v>
      </c>
      <c r="DL31" s="176">
        <v>44774</v>
      </c>
      <c r="DM31" s="175">
        <v>569.72</v>
      </c>
      <c r="DN31" s="28">
        <f t="shared" si="8"/>
        <v>3.558217368328398E-3</v>
      </c>
      <c r="DP31" s="177">
        <v>44774</v>
      </c>
      <c r="DQ31" s="175">
        <v>17759.3</v>
      </c>
      <c r="DR31" s="28">
        <f t="shared" si="9"/>
        <v>3.5029796162195925E-2</v>
      </c>
    </row>
    <row r="32" spans="2:137" x14ac:dyDescent="0.25">
      <c r="B32" s="176">
        <v>44805</v>
      </c>
      <c r="C32" s="175">
        <v>204.85</v>
      </c>
      <c r="D32" s="28">
        <f t="shared" si="10"/>
        <v>2.2562771427145023E-2</v>
      </c>
      <c r="F32" s="177">
        <v>44805</v>
      </c>
      <c r="G32" s="175">
        <v>17094.349999999999</v>
      </c>
      <c r="H32" s="28">
        <f t="shared" si="11"/>
        <v>-3.7442354146841383E-2</v>
      </c>
      <c r="Y32" s="176">
        <v>44805</v>
      </c>
      <c r="Z32" s="175">
        <v>791.96</v>
      </c>
      <c r="AA32" s="28">
        <f t="shared" si="0"/>
        <v>-7.7181376234150001E-3</v>
      </c>
      <c r="AC32" s="177">
        <v>44805</v>
      </c>
      <c r="AD32" s="175">
        <v>17094.349999999999</v>
      </c>
      <c r="AE32" s="28">
        <f t="shared" si="1"/>
        <v>-3.7442354146841383E-2</v>
      </c>
      <c r="AV32" s="176">
        <v>44805</v>
      </c>
      <c r="AW32" s="175">
        <v>97.57</v>
      </c>
      <c r="AX32" s="28">
        <f t="shared" si="2"/>
        <v>-6.55109663825304E-2</v>
      </c>
      <c r="AZ32" s="177">
        <v>44805</v>
      </c>
      <c r="BA32" s="175">
        <v>17094.349999999999</v>
      </c>
      <c r="BB32" s="28">
        <f t="shared" si="3"/>
        <v>-3.7442354146841383E-2</v>
      </c>
      <c r="BS32" s="176">
        <v>44805</v>
      </c>
      <c r="BT32" s="175">
        <v>1036.67</v>
      </c>
      <c r="BU32" s="28">
        <f t="shared" si="4"/>
        <v>1.5695880076421975E-2</v>
      </c>
      <c r="BW32" s="177">
        <v>44805</v>
      </c>
      <c r="BX32" s="175">
        <v>17094.349999999999</v>
      </c>
      <c r="BY32" s="28">
        <f t="shared" si="5"/>
        <v>-3.7442354146841383E-2</v>
      </c>
      <c r="CO32" s="176">
        <v>44805</v>
      </c>
      <c r="CP32" s="175">
        <v>330.94</v>
      </c>
      <c r="CQ32" s="28">
        <f t="shared" si="6"/>
        <v>3.1479865353447378E-2</v>
      </c>
      <c r="CS32" s="177">
        <v>44805</v>
      </c>
      <c r="CT32" s="175">
        <v>17094.349999999999</v>
      </c>
      <c r="CU32" s="28">
        <f t="shared" si="7"/>
        <v>-3.7442354146841383E-2</v>
      </c>
      <c r="DL32" s="176">
        <v>44805</v>
      </c>
      <c r="DM32" s="175">
        <v>559.13</v>
      </c>
      <c r="DN32" s="28">
        <f t="shared" si="8"/>
        <v>-1.8588078354279336E-2</v>
      </c>
      <c r="DP32" s="177">
        <v>44805</v>
      </c>
      <c r="DQ32" s="175">
        <v>17094.349999999999</v>
      </c>
      <c r="DR32" s="28">
        <f t="shared" si="9"/>
        <v>-3.7442354146841383E-2</v>
      </c>
    </row>
    <row r="33" spans="2:122" x14ac:dyDescent="0.25">
      <c r="B33" s="176">
        <v>44835</v>
      </c>
      <c r="C33" s="175">
        <v>206.05</v>
      </c>
      <c r="D33" s="28">
        <f t="shared" si="10"/>
        <v>5.857944837686091E-3</v>
      </c>
      <c r="F33" s="177">
        <v>44835</v>
      </c>
      <c r="G33" s="175">
        <v>18012.2</v>
      </c>
      <c r="H33" s="28">
        <f t="shared" si="11"/>
        <v>5.3693179325332796E-2</v>
      </c>
      <c r="Y33" s="176">
        <v>44835</v>
      </c>
      <c r="Z33" s="175">
        <v>759.13</v>
      </c>
      <c r="AA33" s="28">
        <f t="shared" si="0"/>
        <v>-4.1454113844133555E-2</v>
      </c>
      <c r="AC33" s="177">
        <v>44835</v>
      </c>
      <c r="AD33" s="175">
        <v>18012.2</v>
      </c>
      <c r="AE33" s="28">
        <f t="shared" si="1"/>
        <v>5.3693179325332796E-2</v>
      </c>
      <c r="AV33" s="176">
        <v>44835</v>
      </c>
      <c r="AW33" s="175">
        <v>99.36</v>
      </c>
      <c r="AX33" s="28">
        <f t="shared" si="2"/>
        <v>1.8345803013221307E-2</v>
      </c>
      <c r="AZ33" s="177">
        <v>44835</v>
      </c>
      <c r="BA33" s="175">
        <v>18012.2</v>
      </c>
      <c r="BB33" s="28">
        <f t="shared" si="3"/>
        <v>5.3693179325332796E-2</v>
      </c>
      <c r="BS33" s="176">
        <v>44835</v>
      </c>
      <c r="BT33" s="175">
        <v>947.31</v>
      </c>
      <c r="BU33" s="28">
        <f t="shared" si="4"/>
        <v>-8.6199079745724383E-2</v>
      </c>
      <c r="BW33" s="177">
        <v>44835</v>
      </c>
      <c r="BX33" s="175">
        <v>18012.2</v>
      </c>
      <c r="BY33" s="28">
        <f t="shared" si="5"/>
        <v>5.3693179325332796E-2</v>
      </c>
      <c r="CO33" s="176">
        <v>44835</v>
      </c>
      <c r="CP33" s="175">
        <v>296.89</v>
      </c>
      <c r="CQ33" s="28">
        <f t="shared" si="6"/>
        <v>-0.1028887411615399</v>
      </c>
      <c r="CS33" s="177">
        <v>44835</v>
      </c>
      <c r="CT33" s="175">
        <v>18012.2</v>
      </c>
      <c r="CU33" s="28">
        <f t="shared" si="7"/>
        <v>5.3693179325332796E-2</v>
      </c>
      <c r="DL33" s="176">
        <v>44835</v>
      </c>
      <c r="DM33" s="175">
        <v>541.54999999999995</v>
      </c>
      <c r="DN33" s="28">
        <f t="shared" si="8"/>
        <v>-3.1441704075975241E-2</v>
      </c>
      <c r="DP33" s="177">
        <v>44835</v>
      </c>
      <c r="DQ33" s="175">
        <v>18012.2</v>
      </c>
      <c r="DR33" s="28">
        <f t="shared" si="9"/>
        <v>5.3693179325332796E-2</v>
      </c>
    </row>
    <row r="34" spans="2:122" x14ac:dyDescent="0.25">
      <c r="B34" s="176">
        <v>44866</v>
      </c>
      <c r="C34" s="175">
        <v>243.62</v>
      </c>
      <c r="D34" s="28">
        <f t="shared" si="10"/>
        <v>0.1823343848580441</v>
      </c>
      <c r="F34" s="177">
        <v>44866</v>
      </c>
      <c r="G34" s="175">
        <v>18758.349999999999</v>
      </c>
      <c r="H34" s="28">
        <f t="shared" si="11"/>
        <v>4.1424701035964295E-2</v>
      </c>
      <c r="Y34" s="176">
        <v>44866</v>
      </c>
      <c r="Z34" s="175">
        <v>806.35</v>
      </c>
      <c r="AA34" s="28">
        <f t="shared" si="0"/>
        <v>6.2202784766772545E-2</v>
      </c>
      <c r="AC34" s="177">
        <v>44866</v>
      </c>
      <c r="AD34" s="175">
        <v>18758.349999999999</v>
      </c>
      <c r="AE34" s="28">
        <f t="shared" si="1"/>
        <v>4.1424701035964295E-2</v>
      </c>
      <c r="AV34" s="176">
        <v>44866</v>
      </c>
      <c r="AW34" s="175">
        <v>102.37</v>
      </c>
      <c r="AX34" s="28">
        <f t="shared" si="2"/>
        <v>3.0293880837359177E-2</v>
      </c>
      <c r="AZ34" s="177">
        <v>44866</v>
      </c>
      <c r="BA34" s="175">
        <v>18758.349999999999</v>
      </c>
      <c r="BB34" s="28">
        <f t="shared" si="3"/>
        <v>4.1424701035964295E-2</v>
      </c>
      <c r="BS34" s="176">
        <v>44866</v>
      </c>
      <c r="BT34" s="175">
        <v>881.74</v>
      </c>
      <c r="BU34" s="28">
        <f t="shared" si="4"/>
        <v>-6.9217046162291074E-2</v>
      </c>
      <c r="BW34" s="177">
        <v>44866</v>
      </c>
      <c r="BX34" s="175">
        <v>18758.349999999999</v>
      </c>
      <c r="BY34" s="28">
        <f t="shared" si="5"/>
        <v>4.1424701035964295E-2</v>
      </c>
      <c r="CO34" s="176">
        <v>44866</v>
      </c>
      <c r="CP34" s="175">
        <v>314.58</v>
      </c>
      <c r="CQ34" s="28">
        <f t="shared" si="6"/>
        <v>5.9584357842972224E-2</v>
      </c>
      <c r="CS34" s="177">
        <v>44866</v>
      </c>
      <c r="CT34" s="175">
        <v>18758.349999999999</v>
      </c>
      <c r="CU34" s="28">
        <f t="shared" si="7"/>
        <v>4.1424701035964295E-2</v>
      </c>
      <c r="DL34" s="176">
        <v>44866</v>
      </c>
      <c r="DM34" s="175">
        <v>575.34</v>
      </c>
      <c r="DN34" s="28">
        <f t="shared" si="8"/>
        <v>6.2394977379743422E-2</v>
      </c>
      <c r="DP34" s="177">
        <v>44866</v>
      </c>
      <c r="DQ34" s="175">
        <v>18758.349999999999</v>
      </c>
      <c r="DR34" s="28">
        <f t="shared" si="9"/>
        <v>4.1424701035964295E-2</v>
      </c>
    </row>
    <row r="35" spans="2:122" x14ac:dyDescent="0.25">
      <c r="B35" s="176">
        <v>44896</v>
      </c>
      <c r="C35" s="175">
        <v>259.49</v>
      </c>
      <c r="D35" s="28">
        <f t="shared" si="10"/>
        <v>6.5142434939660099E-2</v>
      </c>
      <c r="F35" s="177">
        <v>44896</v>
      </c>
      <c r="G35" s="175">
        <v>18105.3</v>
      </c>
      <c r="H35" s="28">
        <f t="shared" si="11"/>
        <v>-3.4813829574562805E-2</v>
      </c>
      <c r="Y35" s="176">
        <v>44896</v>
      </c>
      <c r="Z35" s="175">
        <v>756.23</v>
      </c>
      <c r="AA35" s="28">
        <f t="shared" si="0"/>
        <v>-6.2156631735598711E-2</v>
      </c>
      <c r="AC35" s="177">
        <v>44896</v>
      </c>
      <c r="AD35" s="175">
        <v>18105.3</v>
      </c>
      <c r="AE35" s="28">
        <f t="shared" si="1"/>
        <v>-3.4813829574562805E-2</v>
      </c>
      <c r="AV35" s="176">
        <v>44896</v>
      </c>
      <c r="AW35" s="175">
        <v>97.63</v>
      </c>
      <c r="AX35" s="28">
        <f t="shared" si="2"/>
        <v>-4.6302627722965783E-2</v>
      </c>
      <c r="AZ35" s="177">
        <v>44896</v>
      </c>
      <c r="BA35" s="175">
        <v>18105.3</v>
      </c>
      <c r="BB35" s="28">
        <f t="shared" si="3"/>
        <v>-3.4813829574562805E-2</v>
      </c>
      <c r="BS35" s="176">
        <v>44896</v>
      </c>
      <c r="BT35" s="175">
        <v>904.53</v>
      </c>
      <c r="BU35" s="28">
        <f t="shared" si="4"/>
        <v>2.5846621453035956E-2</v>
      </c>
      <c r="BW35" s="177">
        <v>44896</v>
      </c>
      <c r="BX35" s="175">
        <v>18105.3</v>
      </c>
      <c r="BY35" s="28">
        <f t="shared" si="5"/>
        <v>-3.4813829574562805E-2</v>
      </c>
      <c r="CO35" s="176">
        <v>44896</v>
      </c>
      <c r="CP35" s="175">
        <v>353.8</v>
      </c>
      <c r="CQ35" s="28">
        <f t="shared" si="6"/>
        <v>0.12467416873291381</v>
      </c>
      <c r="CS35" s="177">
        <v>44896</v>
      </c>
      <c r="CT35" s="175">
        <v>18105.3</v>
      </c>
      <c r="CU35" s="28">
        <f t="shared" si="7"/>
        <v>-3.4813829574562805E-2</v>
      </c>
      <c r="DL35" s="176">
        <v>44896</v>
      </c>
      <c r="DM35" s="175">
        <v>550.69000000000005</v>
      </c>
      <c r="DN35" s="28">
        <f t="shared" si="8"/>
        <v>-4.2844231237181396E-2</v>
      </c>
      <c r="DP35" s="177">
        <v>44896</v>
      </c>
      <c r="DQ35" s="175">
        <v>18105.3</v>
      </c>
      <c r="DR35" s="28">
        <f t="shared" si="9"/>
        <v>-3.4813829574562805E-2</v>
      </c>
    </row>
    <row r="36" spans="2:122" x14ac:dyDescent="0.25">
      <c r="B36" s="176">
        <v>44927</v>
      </c>
      <c r="C36" s="175">
        <v>225.22</v>
      </c>
      <c r="D36" s="28">
        <f t="shared" si="10"/>
        <v>-0.13206674631006976</v>
      </c>
      <c r="F36" s="177">
        <v>44927</v>
      </c>
      <c r="G36" s="175">
        <v>17662.150000000001</v>
      </c>
      <c r="H36" s="28">
        <f t="shared" si="11"/>
        <v>-2.4476258333195111E-2</v>
      </c>
      <c r="Y36" s="176">
        <v>44927</v>
      </c>
      <c r="Z36" s="175">
        <v>719.01</v>
      </c>
      <c r="AA36" s="28">
        <f t="shared" si="0"/>
        <v>-4.9217830554196484E-2</v>
      </c>
      <c r="AC36" s="177">
        <v>44927</v>
      </c>
      <c r="AD36" s="175">
        <v>17662.150000000001</v>
      </c>
      <c r="AE36" s="28">
        <f t="shared" si="1"/>
        <v>-2.4476258333195111E-2</v>
      </c>
      <c r="AV36" s="176">
        <v>44927</v>
      </c>
      <c r="AW36" s="175">
        <v>101.58</v>
      </c>
      <c r="AX36" s="28">
        <f t="shared" si="2"/>
        <v>4.0458875345692924E-2</v>
      </c>
      <c r="AZ36" s="177">
        <v>44927</v>
      </c>
      <c r="BA36" s="175">
        <v>17662.150000000001</v>
      </c>
      <c r="BB36" s="28">
        <f t="shared" si="3"/>
        <v>-2.4476258333195111E-2</v>
      </c>
      <c r="BS36" s="176">
        <v>44927</v>
      </c>
      <c r="BT36" s="175">
        <v>883.37</v>
      </c>
      <c r="BU36" s="28">
        <f t="shared" si="4"/>
        <v>-2.3393364509745385E-2</v>
      </c>
      <c r="BW36" s="177">
        <v>44927</v>
      </c>
      <c r="BX36" s="175">
        <v>17662.150000000001</v>
      </c>
      <c r="BY36" s="28">
        <f t="shared" si="5"/>
        <v>-2.4476258333195111E-2</v>
      </c>
      <c r="CO36" s="176">
        <v>44927</v>
      </c>
      <c r="CP36" s="175">
        <v>151.82</v>
      </c>
      <c r="CQ36" s="28">
        <f t="shared" si="6"/>
        <v>-0.57088750706613911</v>
      </c>
      <c r="CS36" s="177">
        <v>44927</v>
      </c>
      <c r="CT36" s="175">
        <v>17662.150000000001</v>
      </c>
      <c r="CU36" s="28">
        <f t="shared" si="7"/>
        <v>-2.4476258333195111E-2</v>
      </c>
      <c r="DL36" s="176">
        <v>44927</v>
      </c>
      <c r="DM36" s="175">
        <v>547.01</v>
      </c>
      <c r="DN36" s="28">
        <f t="shared" si="8"/>
        <v>-6.6825255588445209E-3</v>
      </c>
      <c r="DP36" s="177">
        <v>44927</v>
      </c>
      <c r="DQ36" s="175">
        <v>17662.150000000001</v>
      </c>
      <c r="DR36" s="28">
        <f t="shared" si="9"/>
        <v>-2.4476258333195111E-2</v>
      </c>
    </row>
    <row r="37" spans="2:122" x14ac:dyDescent="0.25">
      <c r="B37" s="176">
        <v>44958</v>
      </c>
      <c r="C37" s="175">
        <v>255.62</v>
      </c>
      <c r="D37" s="28">
        <f t="shared" si="10"/>
        <v>0.13497913151585128</v>
      </c>
      <c r="F37" s="177">
        <v>44958</v>
      </c>
      <c r="G37" s="175">
        <v>17303.95</v>
      </c>
      <c r="H37" s="28">
        <f t="shared" si="11"/>
        <v>-2.0280656658447582E-2</v>
      </c>
      <c r="Y37" s="176">
        <v>44958</v>
      </c>
      <c r="Z37" s="175">
        <v>704.23</v>
      </c>
      <c r="AA37" s="28">
        <f t="shared" si="0"/>
        <v>-2.0556042335989733E-2</v>
      </c>
      <c r="AC37" s="177">
        <v>44958</v>
      </c>
      <c r="AD37" s="175">
        <v>17303.95</v>
      </c>
      <c r="AE37" s="28">
        <f t="shared" si="1"/>
        <v>-2.0280656658447582E-2</v>
      </c>
      <c r="AV37" s="176">
        <v>44958</v>
      </c>
      <c r="AW37" s="175">
        <v>96.66</v>
      </c>
      <c r="AX37" s="28">
        <f t="shared" si="2"/>
        <v>-4.8434731246308371E-2</v>
      </c>
      <c r="AZ37" s="177">
        <v>44958</v>
      </c>
      <c r="BA37" s="175">
        <v>17303.95</v>
      </c>
      <c r="BB37" s="28">
        <f t="shared" si="3"/>
        <v>-2.0280656658447582E-2</v>
      </c>
      <c r="BS37" s="176">
        <v>44958</v>
      </c>
      <c r="BT37" s="175">
        <v>889.5</v>
      </c>
      <c r="BU37" s="28">
        <f t="shared" si="4"/>
        <v>6.9393345936583639E-3</v>
      </c>
      <c r="BW37" s="177">
        <v>44958</v>
      </c>
      <c r="BX37" s="175">
        <v>17303.95</v>
      </c>
      <c r="BY37" s="28">
        <f t="shared" si="5"/>
        <v>-2.0280656658447582E-2</v>
      </c>
      <c r="CO37" s="176">
        <v>44958</v>
      </c>
      <c r="CP37" s="175">
        <v>141.57</v>
      </c>
      <c r="CQ37" s="28">
        <f t="shared" si="6"/>
        <v>-6.751416150704781E-2</v>
      </c>
      <c r="CS37" s="177">
        <v>44958</v>
      </c>
      <c r="CT37" s="175">
        <v>17303.95</v>
      </c>
      <c r="CU37" s="28">
        <f t="shared" si="7"/>
        <v>-2.0280656658447582E-2</v>
      </c>
      <c r="DL37" s="176">
        <v>44958</v>
      </c>
      <c r="DM37" s="175">
        <v>522.88</v>
      </c>
      <c r="DN37" s="28">
        <f t="shared" si="8"/>
        <v>-4.4112539076068047E-2</v>
      </c>
      <c r="DP37" s="177">
        <v>44958</v>
      </c>
      <c r="DQ37" s="175">
        <v>17303.95</v>
      </c>
      <c r="DR37" s="28">
        <f t="shared" si="9"/>
        <v>-2.0280656658447582E-2</v>
      </c>
    </row>
    <row r="38" spans="2:122" x14ac:dyDescent="0.25">
      <c r="B38" s="176">
        <v>44986</v>
      </c>
      <c r="C38" s="175">
        <v>272.2</v>
      </c>
      <c r="D38" s="28">
        <f t="shared" si="10"/>
        <v>6.4861904389327929E-2</v>
      </c>
      <c r="F38" s="177">
        <v>44986</v>
      </c>
      <c r="G38" s="175">
        <v>17359.75</v>
      </c>
      <c r="H38" s="28">
        <f t="shared" si="11"/>
        <v>3.2246972512055549E-3</v>
      </c>
      <c r="Y38" s="176">
        <v>44986</v>
      </c>
      <c r="Z38" s="175">
        <v>699.94</v>
      </c>
      <c r="AA38" s="28">
        <f t="shared" si="0"/>
        <v>-6.0917597943852542E-3</v>
      </c>
      <c r="AC38" s="177">
        <v>44986</v>
      </c>
      <c r="AD38" s="175">
        <v>17359.75</v>
      </c>
      <c r="AE38" s="28">
        <f t="shared" si="1"/>
        <v>3.2246972512055549E-3</v>
      </c>
      <c r="AV38" s="176">
        <v>44986</v>
      </c>
      <c r="AW38" s="175">
        <v>101.56</v>
      </c>
      <c r="AX38" s="28">
        <f t="shared" si="2"/>
        <v>5.0693151251810509E-2</v>
      </c>
      <c r="AZ38" s="177">
        <v>44986</v>
      </c>
      <c r="BA38" s="175">
        <v>17359.75</v>
      </c>
      <c r="BB38" s="28">
        <f t="shared" si="3"/>
        <v>3.2246972512055549E-3</v>
      </c>
      <c r="BS38" s="176">
        <v>44986</v>
      </c>
      <c r="BT38" s="175">
        <v>838.61</v>
      </c>
      <c r="BU38" s="28">
        <f t="shared" si="4"/>
        <v>-5.7211916807195062E-2</v>
      </c>
      <c r="BW38" s="177">
        <v>44986</v>
      </c>
      <c r="BX38" s="175">
        <v>17359.75</v>
      </c>
      <c r="BY38" s="28">
        <f t="shared" si="5"/>
        <v>3.2246972512055549E-3</v>
      </c>
      <c r="CO38" s="176">
        <v>44986</v>
      </c>
      <c r="CP38" s="175">
        <v>142.36000000000001</v>
      </c>
      <c r="CQ38" s="28">
        <f t="shared" si="6"/>
        <v>5.5802783075511453E-3</v>
      </c>
      <c r="CS38" s="177">
        <v>44986</v>
      </c>
      <c r="CT38" s="175">
        <v>17359.75</v>
      </c>
      <c r="CU38" s="28">
        <f t="shared" si="7"/>
        <v>3.2246972512055549E-3</v>
      </c>
      <c r="DL38" s="176">
        <v>44986</v>
      </c>
      <c r="DM38" s="175">
        <v>534.70000000000005</v>
      </c>
      <c r="DN38" s="28">
        <f t="shared" si="8"/>
        <v>2.2605569155446759E-2</v>
      </c>
      <c r="DP38" s="177">
        <v>44986</v>
      </c>
      <c r="DQ38" s="175">
        <v>17359.75</v>
      </c>
      <c r="DR38" s="28">
        <f t="shared" si="9"/>
        <v>3.2246972512055549E-3</v>
      </c>
    </row>
    <row r="39" spans="2:122" x14ac:dyDescent="0.25">
      <c r="B39" s="176">
        <v>45017</v>
      </c>
      <c r="C39" s="175">
        <v>283.29000000000002</v>
      </c>
      <c r="D39" s="28">
        <f t="shared" si="10"/>
        <v>4.0742101396032515E-2</v>
      </c>
      <c r="F39" s="177">
        <v>45017</v>
      </c>
      <c r="G39" s="175">
        <v>18065</v>
      </c>
      <c r="H39" s="28">
        <f t="shared" si="11"/>
        <v>4.0625585045867663E-2</v>
      </c>
      <c r="Y39" s="176">
        <v>45017</v>
      </c>
      <c r="Z39" s="175">
        <v>752.58</v>
      </c>
      <c r="AA39" s="28">
        <f t="shared" si="0"/>
        <v>7.5206446266822935E-2</v>
      </c>
      <c r="AC39" s="177">
        <v>45017</v>
      </c>
      <c r="AD39" s="175">
        <v>18065</v>
      </c>
      <c r="AE39" s="28">
        <f t="shared" si="1"/>
        <v>4.0625585045867663E-2</v>
      </c>
      <c r="AV39" s="176">
        <v>45017</v>
      </c>
      <c r="AW39" s="175">
        <v>104.35</v>
      </c>
      <c r="AX39" s="28">
        <f t="shared" si="2"/>
        <v>2.7471445450964804E-2</v>
      </c>
      <c r="AZ39" s="177">
        <v>45017</v>
      </c>
      <c r="BA39" s="175">
        <v>18065</v>
      </c>
      <c r="BB39" s="28">
        <f t="shared" si="3"/>
        <v>4.0625585045867663E-2</v>
      </c>
      <c r="BS39" s="176">
        <v>45017</v>
      </c>
      <c r="BT39" s="175">
        <v>835.3</v>
      </c>
      <c r="BU39" s="28">
        <f t="shared" si="4"/>
        <v>-3.9470075482048728E-3</v>
      </c>
      <c r="BW39" s="177">
        <v>45017</v>
      </c>
      <c r="BX39" s="175">
        <v>18065</v>
      </c>
      <c r="BY39" s="28">
        <f t="shared" si="5"/>
        <v>4.0625585045867663E-2</v>
      </c>
      <c r="CO39" s="176">
        <v>45017</v>
      </c>
      <c r="CP39" s="175">
        <v>166.41</v>
      </c>
      <c r="CQ39" s="28">
        <f t="shared" si="6"/>
        <v>0.16893790390559138</v>
      </c>
      <c r="CS39" s="177">
        <v>45017</v>
      </c>
      <c r="CT39" s="175">
        <v>18065</v>
      </c>
      <c r="CU39" s="28">
        <f t="shared" si="7"/>
        <v>4.0625585045867663E-2</v>
      </c>
      <c r="DL39" s="176">
        <v>45017</v>
      </c>
      <c r="DM39" s="175">
        <v>522.67999999999995</v>
      </c>
      <c r="DN39" s="28">
        <f t="shared" si="8"/>
        <v>-2.2479895268375016E-2</v>
      </c>
      <c r="DP39" s="177">
        <v>45017</v>
      </c>
      <c r="DQ39" s="175">
        <v>18065</v>
      </c>
      <c r="DR39" s="28">
        <f t="shared" si="9"/>
        <v>4.0625585045867663E-2</v>
      </c>
    </row>
    <row r="40" spans="2:122" x14ac:dyDescent="0.25">
      <c r="B40" s="176">
        <v>45047</v>
      </c>
      <c r="C40" s="175">
        <v>333.45</v>
      </c>
      <c r="D40" s="28">
        <f t="shared" si="10"/>
        <v>0.17706237424547266</v>
      </c>
      <c r="F40" s="177">
        <v>45047</v>
      </c>
      <c r="G40" s="175">
        <v>18534.400000000001</v>
      </c>
      <c r="H40" s="28">
        <f t="shared" si="11"/>
        <v>2.5983946858566309E-2</v>
      </c>
      <c r="Y40" s="176">
        <v>45047</v>
      </c>
      <c r="Z40" s="175">
        <v>785.35</v>
      </c>
      <c r="AA40" s="28">
        <f t="shared" ref="AA40:AA67" si="12">Z40/Z39-1</f>
        <v>4.3543543543543617E-2</v>
      </c>
      <c r="AC40" s="177">
        <v>45047</v>
      </c>
      <c r="AD40" s="175">
        <v>18534.400000000001</v>
      </c>
      <c r="AE40" s="28">
        <f t="shared" ref="AE40:AE67" si="13">AD40/AD39-1</f>
        <v>2.5983946858566309E-2</v>
      </c>
      <c r="AV40" s="176">
        <v>45047</v>
      </c>
      <c r="AW40" s="175">
        <v>100.88</v>
      </c>
      <c r="AX40" s="28">
        <f t="shared" ref="AX40:AX63" si="14">AW40/AW39-1</f>
        <v>-3.3253473885960672E-2</v>
      </c>
      <c r="AZ40" s="177">
        <v>45047</v>
      </c>
      <c r="BA40" s="175">
        <v>18534.400000000001</v>
      </c>
      <c r="BB40" s="28">
        <f t="shared" ref="BB40:BB67" si="15">BA40/BA39-1</f>
        <v>2.5983946858566309E-2</v>
      </c>
      <c r="BS40" s="176">
        <v>45047</v>
      </c>
      <c r="BT40" s="175">
        <v>869.72</v>
      </c>
      <c r="BU40" s="28">
        <f t="shared" ref="BU40:BU67" si="16">BT40/BT39-1</f>
        <v>4.1206752065126473E-2</v>
      </c>
      <c r="BW40" s="177">
        <v>45047</v>
      </c>
      <c r="BX40" s="175">
        <v>18534.400000000001</v>
      </c>
      <c r="BY40" s="28">
        <f t="shared" ref="BY40:BY67" si="17">BX40/BX39-1</f>
        <v>2.5983946858566309E-2</v>
      </c>
      <c r="CO40" s="176">
        <v>45047</v>
      </c>
      <c r="CP40" s="175">
        <v>213.07</v>
      </c>
      <c r="CQ40" s="28">
        <f t="shared" ref="CQ40:CQ67" si="18">CP40/CP39-1</f>
        <v>0.28039180337720082</v>
      </c>
      <c r="CS40" s="177">
        <v>45047</v>
      </c>
      <c r="CT40" s="175">
        <v>18534.400000000001</v>
      </c>
      <c r="CU40" s="28">
        <f t="shared" ref="CU40:CU67" si="19">CT40/CT39-1</f>
        <v>2.5983946858566309E-2</v>
      </c>
      <c r="DL40" s="176">
        <v>45047</v>
      </c>
      <c r="DM40" s="175">
        <v>544.02</v>
      </c>
      <c r="DN40" s="28">
        <f t="shared" ref="DN40:DN67" si="20">DM40/DM39-1</f>
        <v>4.0828040101017926E-2</v>
      </c>
      <c r="DP40" s="177">
        <v>45047</v>
      </c>
      <c r="DQ40" s="175">
        <v>18534.400000000001</v>
      </c>
      <c r="DR40" s="28">
        <f t="shared" ref="DR40:DR67" si="21">DQ40/DQ39-1</f>
        <v>2.5983946858566309E-2</v>
      </c>
    </row>
    <row r="41" spans="2:122" x14ac:dyDescent="0.25">
      <c r="B41" s="176">
        <v>45078</v>
      </c>
      <c r="C41" s="175">
        <v>315.23</v>
      </c>
      <c r="D41" s="28">
        <f t="shared" si="10"/>
        <v>-5.4640875693507174E-2</v>
      </c>
      <c r="F41" s="177">
        <v>45078</v>
      </c>
      <c r="G41" s="175">
        <v>19189.05</v>
      </c>
      <c r="H41" s="28">
        <f t="shared" si="11"/>
        <v>3.5320808874309328E-2</v>
      </c>
      <c r="Y41" s="176">
        <v>45078</v>
      </c>
      <c r="Z41" s="175">
        <v>848.1</v>
      </c>
      <c r="AA41" s="28">
        <f t="shared" si="12"/>
        <v>7.9900681224931658E-2</v>
      </c>
      <c r="AC41" s="177">
        <v>45078</v>
      </c>
      <c r="AD41" s="175">
        <v>19189.05</v>
      </c>
      <c r="AE41" s="28">
        <f t="shared" si="13"/>
        <v>3.5320808874309328E-2</v>
      </c>
      <c r="AV41" s="176">
        <v>45078</v>
      </c>
      <c r="AW41" s="175">
        <v>100.6</v>
      </c>
      <c r="AX41" s="28">
        <f t="shared" si="14"/>
        <v>-2.7755749405233843E-3</v>
      </c>
      <c r="AZ41" s="177">
        <v>45078</v>
      </c>
      <c r="BA41" s="175">
        <v>19189.05</v>
      </c>
      <c r="BB41" s="28">
        <f t="shared" si="15"/>
        <v>3.5320808874309328E-2</v>
      </c>
      <c r="BS41" s="176">
        <v>45078</v>
      </c>
      <c r="BT41" s="175">
        <v>909.38</v>
      </c>
      <c r="BU41" s="28">
        <f t="shared" si="16"/>
        <v>4.5600883042818285E-2</v>
      </c>
      <c r="BW41" s="177">
        <v>45078</v>
      </c>
      <c r="BX41" s="175">
        <v>19189.05</v>
      </c>
      <c r="BY41" s="28">
        <f t="shared" si="17"/>
        <v>3.5320808874309328E-2</v>
      </c>
      <c r="CO41" s="176">
        <v>45078</v>
      </c>
      <c r="CP41" s="175">
        <v>207.16</v>
      </c>
      <c r="CQ41" s="28">
        <f t="shared" si="18"/>
        <v>-2.7737363307833052E-2</v>
      </c>
      <c r="CS41" s="177">
        <v>45078</v>
      </c>
      <c r="CT41" s="175">
        <v>19189.05</v>
      </c>
      <c r="CU41" s="28">
        <f t="shared" si="19"/>
        <v>3.5320808874309328E-2</v>
      </c>
      <c r="DL41" s="176">
        <v>45078</v>
      </c>
      <c r="DM41" s="175">
        <v>561.97</v>
      </c>
      <c r="DN41" s="28">
        <f t="shared" si="20"/>
        <v>3.2995110473879707E-2</v>
      </c>
      <c r="DP41" s="177">
        <v>45078</v>
      </c>
      <c r="DQ41" s="175">
        <v>19189.05</v>
      </c>
      <c r="DR41" s="28">
        <f t="shared" si="21"/>
        <v>3.5320808874309328E-2</v>
      </c>
    </row>
    <row r="42" spans="2:122" x14ac:dyDescent="0.25">
      <c r="B42" s="176">
        <v>45108</v>
      </c>
      <c r="C42" s="175">
        <v>316.73</v>
      </c>
      <c r="D42" s="28">
        <f t="shared" si="10"/>
        <v>4.7584303524410565E-3</v>
      </c>
      <c r="F42" s="177">
        <v>45108</v>
      </c>
      <c r="G42" s="175">
        <v>19753.8</v>
      </c>
      <c r="H42" s="28">
        <f t="shared" si="11"/>
        <v>2.9430847280089489E-2</v>
      </c>
      <c r="Y42" s="176">
        <v>45108</v>
      </c>
      <c r="Z42" s="175">
        <v>846.67</v>
      </c>
      <c r="AA42" s="28">
        <f t="shared" si="12"/>
        <v>-1.6861219195850596E-3</v>
      </c>
      <c r="AC42" s="177">
        <v>45108</v>
      </c>
      <c r="AD42" s="175">
        <v>19753.8</v>
      </c>
      <c r="AE42" s="28">
        <f t="shared" si="13"/>
        <v>2.9430847280089489E-2</v>
      </c>
      <c r="AV42" s="176">
        <v>45108</v>
      </c>
      <c r="AW42" s="175">
        <v>99.92</v>
      </c>
      <c r="AX42" s="28">
        <f t="shared" si="14"/>
        <v>-6.7594433399601472E-3</v>
      </c>
      <c r="AZ42" s="177">
        <v>45108</v>
      </c>
      <c r="BA42" s="175">
        <v>19753.8</v>
      </c>
      <c r="BB42" s="28">
        <f t="shared" si="15"/>
        <v>2.9430847280089489E-2</v>
      </c>
      <c r="BS42" s="176">
        <v>45108</v>
      </c>
      <c r="BT42" s="175">
        <v>988.31</v>
      </c>
      <c r="BU42" s="28">
        <f t="shared" si="16"/>
        <v>8.6795399063097856E-2</v>
      </c>
      <c r="BW42" s="177">
        <v>45108</v>
      </c>
      <c r="BX42" s="175">
        <v>19753.8</v>
      </c>
      <c r="BY42" s="28">
        <f t="shared" si="17"/>
        <v>2.9430847280089489E-2</v>
      </c>
      <c r="CO42" s="176">
        <v>45108</v>
      </c>
      <c r="CP42" s="175">
        <v>261.02</v>
      </c>
      <c r="CQ42" s="28">
        <f t="shared" si="18"/>
        <v>0.259992276501255</v>
      </c>
      <c r="CS42" s="177">
        <v>45108</v>
      </c>
      <c r="CT42" s="175">
        <v>19753.8</v>
      </c>
      <c r="CU42" s="28">
        <f t="shared" si="19"/>
        <v>2.9430847280089489E-2</v>
      </c>
      <c r="DL42" s="176">
        <v>45108</v>
      </c>
      <c r="DM42" s="175">
        <v>570.85</v>
      </c>
      <c r="DN42" s="28">
        <f t="shared" si="20"/>
        <v>1.5801555243162513E-2</v>
      </c>
      <c r="DP42" s="177">
        <v>45108</v>
      </c>
      <c r="DQ42" s="175">
        <v>19753.8</v>
      </c>
      <c r="DR42" s="28">
        <f t="shared" si="21"/>
        <v>2.9430847280089489E-2</v>
      </c>
    </row>
    <row r="43" spans="2:122" x14ac:dyDescent="0.25">
      <c r="B43" s="176">
        <v>45139</v>
      </c>
      <c r="C43" s="175">
        <v>354.31</v>
      </c>
      <c r="D43" s="28">
        <f t="shared" si="10"/>
        <v>0.11864995421968239</v>
      </c>
      <c r="F43" s="177">
        <v>45139</v>
      </c>
      <c r="G43" s="175">
        <v>19253.8</v>
      </c>
      <c r="H43" s="28">
        <f t="shared" si="11"/>
        <v>-2.5311585618969512E-2</v>
      </c>
      <c r="Y43" s="176">
        <v>45139</v>
      </c>
      <c r="Z43" s="175">
        <v>823.01</v>
      </c>
      <c r="AA43" s="28">
        <f t="shared" si="12"/>
        <v>-2.7944771870976881E-2</v>
      </c>
      <c r="AC43" s="177">
        <v>45139</v>
      </c>
      <c r="AD43" s="175">
        <v>19253.8</v>
      </c>
      <c r="AE43" s="28">
        <f t="shared" si="13"/>
        <v>-2.5311585618969512E-2</v>
      </c>
      <c r="AV43" s="176">
        <v>45139</v>
      </c>
      <c r="AW43" s="175">
        <v>99.48</v>
      </c>
      <c r="AX43" s="28">
        <f t="shared" si="14"/>
        <v>-4.4035228182546238E-3</v>
      </c>
      <c r="AZ43" s="177">
        <v>45139</v>
      </c>
      <c r="BA43" s="175">
        <v>19253.8</v>
      </c>
      <c r="BB43" s="28">
        <f t="shared" si="15"/>
        <v>-2.5311585618969512E-2</v>
      </c>
      <c r="BS43" s="176">
        <v>45139</v>
      </c>
      <c r="BT43" s="175">
        <v>1194.4000000000001</v>
      </c>
      <c r="BU43" s="28">
        <f t="shared" si="16"/>
        <v>0.20852768868067728</v>
      </c>
      <c r="BW43" s="177">
        <v>45139</v>
      </c>
      <c r="BX43" s="175">
        <v>19253.8</v>
      </c>
      <c r="BY43" s="28">
        <f t="shared" si="17"/>
        <v>-2.5311585618969512E-2</v>
      </c>
      <c r="CO43" s="176">
        <v>45139</v>
      </c>
      <c r="CP43" s="175">
        <v>246.68</v>
      </c>
      <c r="CQ43" s="28">
        <f t="shared" si="18"/>
        <v>-5.4938318902766015E-2</v>
      </c>
      <c r="CS43" s="177">
        <v>45139</v>
      </c>
      <c r="CT43" s="175">
        <v>19253.8</v>
      </c>
      <c r="CU43" s="28">
        <f t="shared" si="19"/>
        <v>-2.5311585618969512E-2</v>
      </c>
      <c r="DL43" s="176">
        <v>45139</v>
      </c>
      <c r="DM43" s="175">
        <v>545.29</v>
      </c>
      <c r="DN43" s="28">
        <f t="shared" si="20"/>
        <v>-4.4775335026714602E-2</v>
      </c>
      <c r="DP43" s="177">
        <v>45139</v>
      </c>
      <c r="DQ43" s="175">
        <v>19253.8</v>
      </c>
      <c r="DR43" s="28">
        <f t="shared" si="21"/>
        <v>-2.5311585618969512E-2</v>
      </c>
    </row>
    <row r="44" spans="2:122" x14ac:dyDescent="0.25">
      <c r="B44" s="176">
        <v>45170</v>
      </c>
      <c r="C44" s="175">
        <v>375.3</v>
      </c>
      <c r="D44" s="28">
        <f t="shared" si="10"/>
        <v>5.924190680477559E-2</v>
      </c>
      <c r="F44" s="177">
        <v>45170</v>
      </c>
      <c r="G44" s="175">
        <v>19638.3</v>
      </c>
      <c r="H44" s="28">
        <f t="shared" si="11"/>
        <v>1.9970083827608009E-2</v>
      </c>
      <c r="Y44" s="176">
        <v>45170</v>
      </c>
      <c r="Z44" s="175">
        <v>864.27</v>
      </c>
      <c r="AA44" s="28">
        <f t="shared" si="12"/>
        <v>5.0133048201115304E-2</v>
      </c>
      <c r="AC44" s="177">
        <v>45170</v>
      </c>
      <c r="AD44" s="175">
        <v>19638.3</v>
      </c>
      <c r="AE44" s="28">
        <f t="shared" si="13"/>
        <v>1.9970083827608009E-2</v>
      </c>
      <c r="AV44" s="176">
        <v>45170</v>
      </c>
      <c r="AW44" s="175">
        <v>96.99</v>
      </c>
      <c r="AX44" s="28">
        <f t="shared" si="14"/>
        <v>-2.5030156815440407E-2</v>
      </c>
      <c r="AZ44" s="177">
        <v>45170</v>
      </c>
      <c r="BA44" s="175">
        <v>19638.3</v>
      </c>
      <c r="BB44" s="28">
        <f t="shared" si="15"/>
        <v>1.9970083827608009E-2</v>
      </c>
      <c r="BS44" s="176">
        <v>45170</v>
      </c>
      <c r="BT44" s="175">
        <v>1139.68</v>
      </c>
      <c r="BU44" s="28">
        <f t="shared" si="16"/>
        <v>-4.5813797722705996E-2</v>
      </c>
      <c r="BW44" s="177">
        <v>45170</v>
      </c>
      <c r="BX44" s="175">
        <v>19638.3</v>
      </c>
      <c r="BY44" s="28">
        <f t="shared" si="17"/>
        <v>1.9970083827608009E-2</v>
      </c>
      <c r="CO44" s="176">
        <v>45170</v>
      </c>
      <c r="CP44" s="175">
        <v>230.4</v>
      </c>
      <c r="CQ44" s="28">
        <f t="shared" si="18"/>
        <v>-6.5996432625263557E-2</v>
      </c>
      <c r="CS44" s="177">
        <v>45170</v>
      </c>
      <c r="CT44" s="175">
        <v>19638.3</v>
      </c>
      <c r="CU44" s="28">
        <f t="shared" si="19"/>
        <v>1.9970083827608009E-2</v>
      </c>
      <c r="DL44" s="176">
        <v>45170</v>
      </c>
      <c r="DM44" s="175">
        <v>543.57000000000005</v>
      </c>
      <c r="DN44" s="28">
        <f t="shared" si="20"/>
        <v>-3.1542848759373854E-3</v>
      </c>
      <c r="DP44" s="177">
        <v>45170</v>
      </c>
      <c r="DQ44" s="175">
        <v>19638.3</v>
      </c>
      <c r="DR44" s="28">
        <f t="shared" si="21"/>
        <v>1.9970083827608009E-2</v>
      </c>
    </row>
    <row r="45" spans="2:122" x14ac:dyDescent="0.25">
      <c r="B45" s="176">
        <v>45200</v>
      </c>
      <c r="C45" s="175">
        <v>360.8</v>
      </c>
      <c r="D45" s="28">
        <f t="shared" si="10"/>
        <v>-3.8635758060218461E-2</v>
      </c>
      <c r="F45" s="177">
        <v>45200</v>
      </c>
      <c r="G45" s="175">
        <v>19079.599999999999</v>
      </c>
      <c r="H45" s="28">
        <f t="shared" si="11"/>
        <v>-2.844950937708457E-2</v>
      </c>
      <c r="Y45" s="176">
        <v>45200</v>
      </c>
      <c r="Z45" s="175">
        <v>887.78</v>
      </c>
      <c r="AA45" s="28">
        <f t="shared" si="12"/>
        <v>2.7202147477061622E-2</v>
      </c>
      <c r="AC45" s="177">
        <v>45200</v>
      </c>
      <c r="AD45" s="175">
        <v>19079.599999999999</v>
      </c>
      <c r="AE45" s="28">
        <f t="shared" si="13"/>
        <v>-2.844950937708457E-2</v>
      </c>
      <c r="AV45" s="176">
        <v>45200</v>
      </c>
      <c r="AW45" s="175">
        <v>91.68</v>
      </c>
      <c r="AX45" s="28">
        <f t="shared" si="14"/>
        <v>-5.4747912155892253E-2</v>
      </c>
      <c r="AZ45" s="177">
        <v>45200</v>
      </c>
      <c r="BA45" s="175">
        <v>19079.599999999999</v>
      </c>
      <c r="BB45" s="28">
        <f t="shared" si="15"/>
        <v>-2.844950937708457E-2</v>
      </c>
      <c r="BS45" s="176">
        <v>45200</v>
      </c>
      <c r="BT45" s="175">
        <v>1120.07</v>
      </c>
      <c r="BU45" s="28">
        <f t="shared" si="16"/>
        <v>-1.7206584304366279E-2</v>
      </c>
      <c r="BW45" s="177">
        <v>45200</v>
      </c>
      <c r="BX45" s="175">
        <v>19079.599999999999</v>
      </c>
      <c r="BY45" s="28">
        <f t="shared" si="17"/>
        <v>-2.844950937708457E-2</v>
      </c>
      <c r="CO45" s="176">
        <v>45200</v>
      </c>
      <c r="CP45" s="175">
        <v>223.73</v>
      </c>
      <c r="CQ45" s="28">
        <f t="shared" si="18"/>
        <v>-2.8949652777777835E-2</v>
      </c>
      <c r="CS45" s="177">
        <v>45200</v>
      </c>
      <c r="CT45" s="175">
        <v>19079.599999999999</v>
      </c>
      <c r="CU45" s="28">
        <f t="shared" si="19"/>
        <v>-2.844950937708457E-2</v>
      </c>
      <c r="DL45" s="176">
        <v>45200</v>
      </c>
      <c r="DM45" s="175">
        <v>521.15</v>
      </c>
      <c r="DN45" s="28">
        <f t="shared" si="20"/>
        <v>-4.1245837702595933E-2</v>
      </c>
      <c r="DP45" s="177">
        <v>45200</v>
      </c>
      <c r="DQ45" s="175">
        <v>19079.599999999999</v>
      </c>
      <c r="DR45" s="28">
        <f t="shared" si="21"/>
        <v>-2.844950937708457E-2</v>
      </c>
    </row>
    <row r="46" spans="2:122" x14ac:dyDescent="0.25">
      <c r="B46" s="176">
        <v>45231</v>
      </c>
      <c r="C46" s="175">
        <v>438.47</v>
      </c>
      <c r="D46" s="28">
        <f t="shared" si="10"/>
        <v>0.21527161862527722</v>
      </c>
      <c r="F46" s="177">
        <v>45231</v>
      </c>
      <c r="G46" s="175">
        <v>20133.150000000001</v>
      </c>
      <c r="H46" s="28">
        <f t="shared" si="11"/>
        <v>5.5218662865049728E-2</v>
      </c>
      <c r="Y46" s="176">
        <v>45231</v>
      </c>
      <c r="Z46" s="175">
        <v>927.65</v>
      </c>
      <c r="AA46" s="28">
        <f t="shared" si="12"/>
        <v>4.4909774944242864E-2</v>
      </c>
      <c r="AC46" s="177">
        <v>45231</v>
      </c>
      <c r="AD46" s="175">
        <v>20133.150000000001</v>
      </c>
      <c r="AE46" s="28">
        <f t="shared" si="13"/>
        <v>5.5218662865049728E-2</v>
      </c>
      <c r="AV46" s="176">
        <v>45231</v>
      </c>
      <c r="AW46" s="175">
        <v>92.88</v>
      </c>
      <c r="AX46" s="28">
        <f t="shared" si="14"/>
        <v>1.308900523560208E-2</v>
      </c>
      <c r="AZ46" s="177">
        <v>45231</v>
      </c>
      <c r="BA46" s="175">
        <v>20133.150000000001</v>
      </c>
      <c r="BB46" s="28">
        <f t="shared" si="15"/>
        <v>5.5218662865049728E-2</v>
      </c>
      <c r="BS46" s="176">
        <v>45231</v>
      </c>
      <c r="BT46" s="175">
        <v>1083.1600000000001</v>
      </c>
      <c r="BU46" s="28">
        <f t="shared" si="16"/>
        <v>-3.2953297561759354E-2</v>
      </c>
      <c r="BW46" s="177">
        <v>45231</v>
      </c>
      <c r="BX46" s="175">
        <v>20133.150000000001</v>
      </c>
      <c r="BY46" s="28">
        <f t="shared" si="17"/>
        <v>5.5218662865049728E-2</v>
      </c>
      <c r="CO46" s="176">
        <v>45231</v>
      </c>
      <c r="CP46" s="175">
        <v>237.02</v>
      </c>
      <c r="CQ46" s="28">
        <f t="shared" si="18"/>
        <v>5.9401957716890941E-2</v>
      </c>
      <c r="CS46" s="177">
        <v>45231</v>
      </c>
      <c r="CT46" s="175">
        <v>20133.150000000001</v>
      </c>
      <c r="CU46" s="28">
        <f t="shared" si="19"/>
        <v>5.5218662865049728E-2</v>
      </c>
      <c r="DL46" s="176">
        <v>45231</v>
      </c>
      <c r="DM46" s="175">
        <v>530.46</v>
      </c>
      <c r="DN46" s="28">
        <f t="shared" si="20"/>
        <v>1.7864338482203035E-2</v>
      </c>
      <c r="DP46" s="177">
        <v>45231</v>
      </c>
      <c r="DQ46" s="175">
        <v>20133.150000000001</v>
      </c>
      <c r="DR46" s="28">
        <f t="shared" si="21"/>
        <v>5.5218662865049728E-2</v>
      </c>
    </row>
    <row r="47" spans="2:122" x14ac:dyDescent="0.25">
      <c r="B47" s="176">
        <v>45261</v>
      </c>
      <c r="C47" s="175">
        <v>490.51</v>
      </c>
      <c r="D47" s="28">
        <f t="shared" si="10"/>
        <v>0.11868542887768818</v>
      </c>
      <c r="F47" s="177">
        <v>45261</v>
      </c>
      <c r="G47" s="175">
        <v>21731.4</v>
      </c>
      <c r="H47" s="28">
        <f t="shared" si="11"/>
        <v>7.9384001013254268E-2</v>
      </c>
      <c r="Y47" s="176">
        <v>45261</v>
      </c>
      <c r="Z47" s="175">
        <v>1071.32</v>
      </c>
      <c r="AA47" s="28">
        <f t="shared" si="12"/>
        <v>0.15487522233601037</v>
      </c>
      <c r="AC47" s="177">
        <v>45261</v>
      </c>
      <c r="AD47" s="175">
        <v>21731.4</v>
      </c>
      <c r="AE47" s="28">
        <f t="shared" si="13"/>
        <v>7.9384001013254268E-2</v>
      </c>
      <c r="AV47" s="176">
        <v>45261</v>
      </c>
      <c r="AW47" s="175">
        <v>91.16</v>
      </c>
      <c r="AX47" s="28">
        <f t="shared" si="14"/>
        <v>-1.851851851851849E-2</v>
      </c>
      <c r="AZ47" s="177">
        <v>45261</v>
      </c>
      <c r="BA47" s="175">
        <v>21731.4</v>
      </c>
      <c r="BB47" s="28">
        <f t="shared" si="15"/>
        <v>7.9384001013254268E-2</v>
      </c>
      <c r="BS47" s="176">
        <v>45261</v>
      </c>
      <c r="BT47" s="175">
        <v>1132.01</v>
      </c>
      <c r="BU47" s="28">
        <f t="shared" si="16"/>
        <v>4.5099523616086268E-2</v>
      </c>
      <c r="BW47" s="177">
        <v>45261</v>
      </c>
      <c r="BX47" s="175">
        <v>21731.4</v>
      </c>
      <c r="BY47" s="28">
        <f t="shared" si="17"/>
        <v>7.9384001013254268E-2</v>
      </c>
      <c r="CO47" s="176">
        <v>45261</v>
      </c>
      <c r="CP47" s="175">
        <v>302.32</v>
      </c>
      <c r="CQ47" s="28">
        <f t="shared" si="18"/>
        <v>0.275504176862712</v>
      </c>
      <c r="CS47" s="177">
        <v>45261</v>
      </c>
      <c r="CT47" s="175">
        <v>21731.4</v>
      </c>
      <c r="CU47" s="28">
        <f t="shared" si="19"/>
        <v>7.9384001013254268E-2</v>
      </c>
      <c r="DL47" s="176">
        <v>45261</v>
      </c>
      <c r="DM47" s="175">
        <v>551.72</v>
      </c>
      <c r="DN47" s="28">
        <f t="shared" si="20"/>
        <v>4.0078422501225397E-2</v>
      </c>
      <c r="DP47" s="177">
        <v>45261</v>
      </c>
      <c r="DQ47" s="175">
        <v>21731.4</v>
      </c>
      <c r="DR47" s="28">
        <f t="shared" si="21"/>
        <v>7.9384001013254268E-2</v>
      </c>
    </row>
    <row r="48" spans="2:122" x14ac:dyDescent="0.25">
      <c r="B48" s="176">
        <v>45292</v>
      </c>
      <c r="C48" s="175">
        <v>507.79</v>
      </c>
      <c r="D48" s="28">
        <f t="shared" si="10"/>
        <v>3.5228639579213628E-2</v>
      </c>
      <c r="F48" s="177">
        <v>45292</v>
      </c>
      <c r="G48" s="175">
        <v>21725.7</v>
      </c>
      <c r="H48" s="28">
        <f t="shared" si="11"/>
        <v>-2.6229327148741266E-4</v>
      </c>
      <c r="Y48" s="176">
        <v>45292</v>
      </c>
      <c r="Z48" s="175">
        <v>1101.49</v>
      </c>
      <c r="AA48" s="28">
        <f t="shared" si="12"/>
        <v>2.8161520367397275E-2</v>
      </c>
      <c r="AC48" s="177">
        <v>45292</v>
      </c>
      <c r="AD48" s="175">
        <v>21725.7</v>
      </c>
      <c r="AE48" s="28">
        <f t="shared" si="13"/>
        <v>-2.6229327148741266E-4</v>
      </c>
      <c r="AV48" s="176">
        <v>45292</v>
      </c>
      <c r="AW48" s="175">
        <v>92.15</v>
      </c>
      <c r="AX48" s="28">
        <f t="shared" si="14"/>
        <v>1.0860026327336625E-2</v>
      </c>
      <c r="AZ48" s="177">
        <v>45292</v>
      </c>
      <c r="BA48" s="175">
        <v>21725.7</v>
      </c>
      <c r="BB48" s="28">
        <f t="shared" si="15"/>
        <v>-2.6229327148741266E-4</v>
      </c>
      <c r="BS48" s="176">
        <v>45292</v>
      </c>
      <c r="BT48" s="175">
        <v>1134.95</v>
      </c>
      <c r="BU48" s="28">
        <f t="shared" si="16"/>
        <v>2.5971502018533599E-3</v>
      </c>
      <c r="BW48" s="177">
        <v>45292</v>
      </c>
      <c r="BX48" s="175">
        <v>21725.7</v>
      </c>
      <c r="BY48" s="28">
        <f t="shared" si="17"/>
        <v>-2.6229327148741266E-4</v>
      </c>
      <c r="CO48" s="176">
        <v>45292</v>
      </c>
      <c r="CP48" s="175">
        <v>320.94</v>
      </c>
      <c r="CQ48" s="28">
        <f t="shared" si="18"/>
        <v>6.1590367822175196E-2</v>
      </c>
      <c r="CS48" s="177">
        <v>45292</v>
      </c>
      <c r="CT48" s="175">
        <v>21725.7</v>
      </c>
      <c r="CU48" s="28">
        <f t="shared" si="19"/>
        <v>-2.6229327148741266E-4</v>
      </c>
      <c r="DL48" s="176">
        <v>45292</v>
      </c>
      <c r="DM48" s="175">
        <v>532.65</v>
      </c>
      <c r="DN48" s="28">
        <f t="shared" si="20"/>
        <v>-3.4564634234756864E-2</v>
      </c>
      <c r="DP48" s="177">
        <v>45292</v>
      </c>
      <c r="DQ48" s="175">
        <v>21725.7</v>
      </c>
      <c r="DR48" s="28">
        <f t="shared" si="21"/>
        <v>-2.6229327148741266E-4</v>
      </c>
    </row>
    <row r="49" spans="2:122" x14ac:dyDescent="0.25">
      <c r="B49" s="176">
        <v>45323</v>
      </c>
      <c r="C49" s="175">
        <v>558.76</v>
      </c>
      <c r="D49" s="28">
        <f t="shared" si="10"/>
        <v>0.1003761397428069</v>
      </c>
      <c r="F49" s="177">
        <v>45323</v>
      </c>
      <c r="G49" s="175">
        <v>21982.799999999999</v>
      </c>
      <c r="H49" s="28">
        <f t="shared" si="11"/>
        <v>1.1833910990209695E-2</v>
      </c>
      <c r="Y49" s="176">
        <v>45323</v>
      </c>
      <c r="Z49" s="175">
        <v>1174.3900000000001</v>
      </c>
      <c r="AA49" s="28">
        <f t="shared" si="12"/>
        <v>6.6183079283516077E-2</v>
      </c>
      <c r="AC49" s="177">
        <v>45323</v>
      </c>
      <c r="AD49" s="175">
        <v>21982.799999999999</v>
      </c>
      <c r="AE49" s="28">
        <f t="shared" si="13"/>
        <v>1.1833910990209695E-2</v>
      </c>
      <c r="AV49" s="176">
        <v>45323</v>
      </c>
      <c r="AW49" s="175">
        <v>85.79</v>
      </c>
      <c r="AX49" s="28">
        <f t="shared" si="14"/>
        <v>-6.9017905588714012E-2</v>
      </c>
      <c r="AZ49" s="177">
        <v>45323</v>
      </c>
      <c r="BA49" s="175">
        <v>21982.799999999999</v>
      </c>
      <c r="BB49" s="28">
        <f t="shared" si="15"/>
        <v>1.1833910990209695E-2</v>
      </c>
      <c r="BS49" s="176">
        <v>45323</v>
      </c>
      <c r="BT49" s="175">
        <v>1121.27</v>
      </c>
      <c r="BU49" s="28">
        <f t="shared" si="16"/>
        <v>-1.2053394422661845E-2</v>
      </c>
      <c r="BW49" s="177">
        <v>45323</v>
      </c>
      <c r="BX49" s="175">
        <v>21982.799999999999</v>
      </c>
      <c r="BY49" s="28">
        <f t="shared" si="17"/>
        <v>1.1833910990209695E-2</v>
      </c>
      <c r="CO49" s="176">
        <v>45323</v>
      </c>
      <c r="CP49" s="175">
        <v>329.94</v>
      </c>
      <c r="CQ49" s="28">
        <f t="shared" si="18"/>
        <v>2.8042624789680337E-2</v>
      </c>
      <c r="CS49" s="177">
        <v>45323</v>
      </c>
      <c r="CT49" s="175">
        <v>21982.799999999999</v>
      </c>
      <c r="CU49" s="28">
        <f t="shared" si="19"/>
        <v>1.1833910990209695E-2</v>
      </c>
      <c r="DL49" s="176">
        <v>45323</v>
      </c>
      <c r="DM49" s="175">
        <v>533.19000000000005</v>
      </c>
      <c r="DN49" s="28">
        <f t="shared" si="20"/>
        <v>1.0137989298790728E-3</v>
      </c>
      <c r="DP49" s="177">
        <v>45323</v>
      </c>
      <c r="DQ49" s="175">
        <v>21982.799999999999</v>
      </c>
      <c r="DR49" s="28">
        <f t="shared" si="21"/>
        <v>1.1833910990209695E-2</v>
      </c>
    </row>
    <row r="50" spans="2:122" x14ac:dyDescent="0.25">
      <c r="B50" s="176">
        <v>45352</v>
      </c>
      <c r="C50" s="175">
        <v>554.59</v>
      </c>
      <c r="D50" s="28">
        <f t="shared" si="10"/>
        <v>-7.4629536831555265E-3</v>
      </c>
      <c r="F50" s="177">
        <v>45352</v>
      </c>
      <c r="G50" s="175">
        <v>22326.9</v>
      </c>
      <c r="H50" s="28">
        <f t="shared" si="11"/>
        <v>1.5653147005840973E-2</v>
      </c>
      <c r="Y50" s="176">
        <v>45352</v>
      </c>
      <c r="Z50" s="175">
        <v>1079.8</v>
      </c>
      <c r="AA50" s="28">
        <f t="shared" si="12"/>
        <v>-8.0543941961358834E-2</v>
      </c>
      <c r="AC50" s="177">
        <v>45352</v>
      </c>
      <c r="AD50" s="175">
        <v>22326.9</v>
      </c>
      <c r="AE50" s="28">
        <f t="shared" si="13"/>
        <v>1.5653147005840973E-2</v>
      </c>
      <c r="AV50" s="176">
        <v>45352</v>
      </c>
      <c r="AW50" s="175">
        <v>89.52</v>
      </c>
      <c r="AX50" s="28">
        <f t="shared" si="14"/>
        <v>4.3478260869565188E-2</v>
      </c>
      <c r="AZ50" s="177">
        <v>45352</v>
      </c>
      <c r="BA50" s="175">
        <v>22326.9</v>
      </c>
      <c r="BB50" s="28">
        <f t="shared" si="15"/>
        <v>1.5653147005840973E-2</v>
      </c>
      <c r="BS50" s="176">
        <v>45352</v>
      </c>
      <c r="BT50" s="175">
        <v>1002.96</v>
      </c>
      <c r="BU50" s="28">
        <f t="shared" si="16"/>
        <v>-0.10551428291134157</v>
      </c>
      <c r="BW50" s="177">
        <v>45352</v>
      </c>
      <c r="BX50" s="175">
        <v>22326.9</v>
      </c>
      <c r="BY50" s="28">
        <f t="shared" si="17"/>
        <v>1.5653147005840973E-2</v>
      </c>
      <c r="CO50" s="176">
        <v>45352</v>
      </c>
      <c r="CP50" s="175">
        <v>335.42</v>
      </c>
      <c r="CQ50" s="28">
        <f t="shared" si="18"/>
        <v>1.6609080438867663E-2</v>
      </c>
      <c r="CS50" s="177">
        <v>45352</v>
      </c>
      <c r="CT50" s="175">
        <v>22326.9</v>
      </c>
      <c r="CU50" s="28">
        <f t="shared" si="19"/>
        <v>1.5653147005840973E-2</v>
      </c>
      <c r="DL50" s="176">
        <v>45352</v>
      </c>
      <c r="DM50" s="175">
        <v>518.24</v>
      </c>
      <c r="DN50" s="28">
        <f t="shared" si="20"/>
        <v>-2.8038785423582624E-2</v>
      </c>
      <c r="DP50" s="177">
        <v>45352</v>
      </c>
      <c r="DQ50" s="175">
        <v>22326.9</v>
      </c>
      <c r="DR50" s="28">
        <f t="shared" si="21"/>
        <v>1.5653147005840973E-2</v>
      </c>
    </row>
    <row r="51" spans="2:122" x14ac:dyDescent="0.25">
      <c r="B51" s="176">
        <v>45383</v>
      </c>
      <c r="C51" s="175">
        <v>587.99</v>
      </c>
      <c r="D51" s="28">
        <f t="shared" si="10"/>
        <v>6.0224670477289521E-2</v>
      </c>
      <c r="F51" s="177">
        <v>45383</v>
      </c>
      <c r="G51" s="175">
        <v>22604.85</v>
      </c>
      <c r="H51" s="28">
        <f t="shared" si="11"/>
        <v>1.2449108474530624E-2</v>
      </c>
      <c r="Y51" s="176">
        <v>45383</v>
      </c>
      <c r="Z51" s="175">
        <v>1092.07</v>
      </c>
      <c r="AA51" s="28">
        <f t="shared" si="12"/>
        <v>1.1363215410261196E-2</v>
      </c>
      <c r="AC51" s="177">
        <v>45383</v>
      </c>
      <c r="AD51" s="175">
        <v>22604.85</v>
      </c>
      <c r="AE51" s="28">
        <f t="shared" si="13"/>
        <v>1.2449108474530624E-2</v>
      </c>
      <c r="AV51" s="176">
        <v>45383</v>
      </c>
      <c r="AW51" s="175">
        <v>86.2</v>
      </c>
      <c r="AX51" s="28">
        <f t="shared" si="14"/>
        <v>-3.70866845397676E-2</v>
      </c>
      <c r="AZ51" s="177">
        <v>45383</v>
      </c>
      <c r="BA51" s="175">
        <v>22604.85</v>
      </c>
      <c r="BB51" s="28">
        <f t="shared" si="15"/>
        <v>1.2449108474530624E-2</v>
      </c>
      <c r="BS51" s="176">
        <v>45383</v>
      </c>
      <c r="BT51" s="175">
        <v>1095.45</v>
      </c>
      <c r="BU51" s="28">
        <f t="shared" si="16"/>
        <v>9.221703756879629E-2</v>
      </c>
      <c r="BW51" s="177">
        <v>45383</v>
      </c>
      <c r="BX51" s="175">
        <v>22604.85</v>
      </c>
      <c r="BY51" s="28">
        <f t="shared" si="17"/>
        <v>1.2449108474530624E-2</v>
      </c>
      <c r="CO51" s="176">
        <v>45383</v>
      </c>
      <c r="CP51" s="175">
        <v>330.84</v>
      </c>
      <c r="CQ51" s="28">
        <f t="shared" si="18"/>
        <v>-1.3654522687973403E-2</v>
      </c>
      <c r="CS51" s="177">
        <v>45383</v>
      </c>
      <c r="CT51" s="175">
        <v>22604.85</v>
      </c>
      <c r="CU51" s="28">
        <f t="shared" si="19"/>
        <v>1.2449108474530624E-2</v>
      </c>
      <c r="DL51" s="176">
        <v>45383</v>
      </c>
      <c r="DM51" s="175">
        <v>502.78</v>
      </c>
      <c r="DN51" s="28">
        <f t="shared" si="20"/>
        <v>-2.983173819079965E-2</v>
      </c>
      <c r="DP51" s="177">
        <v>45383</v>
      </c>
      <c r="DQ51" s="175">
        <v>22604.85</v>
      </c>
      <c r="DR51" s="28">
        <f t="shared" si="21"/>
        <v>1.2449108474530624E-2</v>
      </c>
    </row>
    <row r="52" spans="2:122" x14ac:dyDescent="0.25">
      <c r="B52" s="176">
        <v>45413</v>
      </c>
      <c r="C52" s="175">
        <v>567.95000000000005</v>
      </c>
      <c r="D52" s="28">
        <f t="shared" si="10"/>
        <v>-3.4082212282521729E-2</v>
      </c>
      <c r="F52" s="177">
        <v>45413</v>
      </c>
      <c r="G52" s="175">
        <v>22530.7</v>
      </c>
      <c r="H52" s="28">
        <f t="shared" si="11"/>
        <v>-3.2802694996869608E-3</v>
      </c>
      <c r="Y52" s="176">
        <v>45413</v>
      </c>
      <c r="Z52" s="175">
        <v>1044.22</v>
      </c>
      <c r="AA52" s="28">
        <f t="shared" si="12"/>
        <v>-4.3815872608898632E-2</v>
      </c>
      <c r="AC52" s="177">
        <v>45413</v>
      </c>
      <c r="AD52" s="175">
        <v>22530.7</v>
      </c>
      <c r="AE52" s="28">
        <f t="shared" si="13"/>
        <v>-3.2802694996869608E-3</v>
      </c>
      <c r="AV52" s="176">
        <v>45413</v>
      </c>
      <c r="AW52" s="175">
        <v>92.25</v>
      </c>
      <c r="AX52" s="28">
        <f t="shared" si="14"/>
        <v>7.0185614849187949E-2</v>
      </c>
      <c r="AZ52" s="177">
        <v>45413</v>
      </c>
      <c r="BA52" s="175">
        <v>22530.7</v>
      </c>
      <c r="BB52" s="28">
        <f t="shared" si="15"/>
        <v>-3.2802694996869608E-3</v>
      </c>
      <c r="BS52" s="176">
        <v>45413</v>
      </c>
      <c r="BT52" s="175">
        <v>1000.33</v>
      </c>
      <c r="BU52" s="28">
        <f t="shared" si="16"/>
        <v>-8.6831895568031392E-2</v>
      </c>
      <c r="BW52" s="177">
        <v>45413</v>
      </c>
      <c r="BX52" s="175">
        <v>22530.7</v>
      </c>
      <c r="BY52" s="28">
        <f t="shared" si="17"/>
        <v>-3.2802694996869608E-3</v>
      </c>
      <c r="CO52" s="176">
        <v>45413</v>
      </c>
      <c r="CP52" s="175">
        <v>400.97</v>
      </c>
      <c r="CQ52" s="28">
        <f t="shared" si="18"/>
        <v>0.21197557731834138</v>
      </c>
      <c r="CS52" s="177">
        <v>45413</v>
      </c>
      <c r="CT52" s="175">
        <v>22530.7</v>
      </c>
      <c r="CU52" s="28">
        <f t="shared" si="19"/>
        <v>-3.2802694996869608E-3</v>
      </c>
      <c r="DL52" s="176">
        <v>45413</v>
      </c>
      <c r="DM52" s="175">
        <v>540.91999999999996</v>
      </c>
      <c r="DN52" s="28">
        <f t="shared" si="20"/>
        <v>7.5858228250924808E-2</v>
      </c>
      <c r="DP52" s="177">
        <v>45413</v>
      </c>
      <c r="DQ52" s="175">
        <v>22530.7</v>
      </c>
      <c r="DR52" s="28">
        <f t="shared" si="21"/>
        <v>-3.2802694996869608E-3</v>
      </c>
    </row>
    <row r="53" spans="2:122" x14ac:dyDescent="0.25">
      <c r="B53" s="176">
        <v>45444</v>
      </c>
      <c r="C53" s="175">
        <v>649.29999999999995</v>
      </c>
      <c r="D53" s="28">
        <f t="shared" si="10"/>
        <v>0.14323443965137761</v>
      </c>
      <c r="F53" s="177">
        <v>45444</v>
      </c>
      <c r="G53" s="175">
        <v>24010.6</v>
      </c>
      <c r="H53" s="28">
        <f t="shared" si="11"/>
        <v>6.5683711558007341E-2</v>
      </c>
      <c r="Y53" s="176">
        <v>45444</v>
      </c>
      <c r="Z53" s="175">
        <v>1089.08</v>
      </c>
      <c r="AA53" s="28">
        <f t="shared" si="12"/>
        <v>4.2960295723123432E-2</v>
      </c>
      <c r="AC53" s="177">
        <v>45444</v>
      </c>
      <c r="AD53" s="175">
        <v>24010.6</v>
      </c>
      <c r="AE53" s="28">
        <f t="shared" si="13"/>
        <v>6.5683711558007341E-2</v>
      </c>
      <c r="AV53" s="176">
        <v>45444</v>
      </c>
      <c r="AW53" s="175">
        <v>88.54</v>
      </c>
      <c r="AX53" s="28">
        <f t="shared" si="14"/>
        <v>-4.0216802168021593E-2</v>
      </c>
      <c r="AZ53" s="177">
        <v>45444</v>
      </c>
      <c r="BA53" s="175">
        <v>24010.6</v>
      </c>
      <c r="BB53" s="28">
        <f t="shared" si="15"/>
        <v>6.5683711558007341E-2</v>
      </c>
      <c r="BS53" s="176">
        <v>45444</v>
      </c>
      <c r="BT53" s="175">
        <v>1021.97</v>
      </c>
      <c r="BU53" s="28">
        <f t="shared" si="16"/>
        <v>2.1632861155818528E-2</v>
      </c>
      <c r="BW53" s="177">
        <v>45444</v>
      </c>
      <c r="BX53" s="175">
        <v>24010.6</v>
      </c>
      <c r="BY53" s="28">
        <f t="shared" si="17"/>
        <v>6.5683711558007341E-2</v>
      </c>
      <c r="CO53" s="176">
        <v>45444</v>
      </c>
      <c r="CP53" s="175">
        <v>557.85</v>
      </c>
      <c r="CQ53" s="28">
        <f t="shared" si="18"/>
        <v>0.39125121580168098</v>
      </c>
      <c r="CS53" s="177">
        <v>45444</v>
      </c>
      <c r="CT53" s="175">
        <v>24010.6</v>
      </c>
      <c r="CU53" s="28">
        <f t="shared" si="19"/>
        <v>6.5683711558007341E-2</v>
      </c>
      <c r="DL53" s="176">
        <v>45444</v>
      </c>
      <c r="DM53" s="175">
        <v>595.21</v>
      </c>
      <c r="DN53" s="28">
        <f t="shared" si="20"/>
        <v>0.10036604303778773</v>
      </c>
      <c r="DP53" s="177">
        <v>45444</v>
      </c>
      <c r="DQ53" s="175">
        <v>24010.6</v>
      </c>
      <c r="DR53" s="28">
        <f t="shared" si="21"/>
        <v>6.5683711558007341E-2</v>
      </c>
    </row>
    <row r="54" spans="2:122" x14ac:dyDescent="0.25">
      <c r="B54" s="176">
        <v>45474</v>
      </c>
      <c r="C54" s="175">
        <v>628.55999999999995</v>
      </c>
      <c r="D54" s="28">
        <f t="shared" si="10"/>
        <v>-3.1942091483135648E-2</v>
      </c>
      <c r="F54" s="177">
        <v>45474</v>
      </c>
      <c r="G54" s="175">
        <v>24951.15</v>
      </c>
      <c r="H54" s="28">
        <f t="shared" si="11"/>
        <v>3.917228224200997E-2</v>
      </c>
      <c r="Y54" s="176">
        <v>45474</v>
      </c>
      <c r="Z54" s="175">
        <v>1179.81</v>
      </c>
      <c r="AA54" s="28">
        <f t="shared" si="12"/>
        <v>8.3308847834869804E-2</v>
      </c>
      <c r="AC54" s="177">
        <v>45474</v>
      </c>
      <c r="AD54" s="175">
        <v>24951.15</v>
      </c>
      <c r="AE54" s="28">
        <f t="shared" si="13"/>
        <v>3.917228224200997E-2</v>
      </c>
      <c r="AV54" s="176">
        <v>45474</v>
      </c>
      <c r="AW54" s="175">
        <v>86.05</v>
      </c>
      <c r="AX54" s="28">
        <f t="shared" si="14"/>
        <v>-2.8122882313078912E-2</v>
      </c>
      <c r="AZ54" s="177">
        <v>45474</v>
      </c>
      <c r="BA54" s="175">
        <v>24951.15</v>
      </c>
      <c r="BB54" s="28">
        <f t="shared" si="15"/>
        <v>3.917228224200997E-2</v>
      </c>
      <c r="BS54" s="176">
        <v>45474</v>
      </c>
      <c r="BT54" s="175">
        <v>1223.5</v>
      </c>
      <c r="BU54" s="28">
        <f t="shared" si="16"/>
        <v>0.19719756940027588</v>
      </c>
      <c r="BW54" s="177">
        <v>45474</v>
      </c>
      <c r="BX54" s="175">
        <v>24951.15</v>
      </c>
      <c r="BY54" s="28">
        <f t="shared" si="17"/>
        <v>3.917228224200997E-2</v>
      </c>
      <c r="CO54" s="176">
        <v>45474</v>
      </c>
      <c r="CP54" s="175">
        <v>574.98</v>
      </c>
      <c r="CQ54" s="28">
        <f t="shared" si="18"/>
        <v>3.0707179349287461E-2</v>
      </c>
      <c r="CS54" s="177">
        <v>45474</v>
      </c>
      <c r="CT54" s="175">
        <v>24951.15</v>
      </c>
      <c r="CU54" s="28">
        <f t="shared" si="19"/>
        <v>3.917228224200997E-2</v>
      </c>
      <c r="DL54" s="176">
        <v>45474</v>
      </c>
      <c r="DM54" s="175">
        <v>629.38</v>
      </c>
      <c r="DN54" s="28">
        <f t="shared" si="20"/>
        <v>5.740830967221644E-2</v>
      </c>
      <c r="DP54" s="177">
        <v>45474</v>
      </c>
      <c r="DQ54" s="175">
        <v>24951.15</v>
      </c>
      <c r="DR54" s="28">
        <f t="shared" si="21"/>
        <v>3.917228224200997E-2</v>
      </c>
    </row>
    <row r="55" spans="2:122" x14ac:dyDescent="0.25">
      <c r="B55" s="176">
        <v>45505</v>
      </c>
      <c r="C55" s="175">
        <v>597.99</v>
      </c>
      <c r="D55" s="28">
        <f t="shared" si="10"/>
        <v>-4.8634975181366835E-2</v>
      </c>
      <c r="F55" s="177">
        <v>45505</v>
      </c>
      <c r="G55" s="175">
        <v>25235.9</v>
      </c>
      <c r="H55" s="28">
        <f t="shared" si="11"/>
        <v>1.141229963348378E-2</v>
      </c>
      <c r="Y55" s="176">
        <v>45505</v>
      </c>
      <c r="Z55" s="175">
        <v>1190.3800000000001</v>
      </c>
      <c r="AA55" s="28">
        <f t="shared" si="12"/>
        <v>8.9590696807113623E-3</v>
      </c>
      <c r="AC55" s="177">
        <v>45505</v>
      </c>
      <c r="AD55" s="175">
        <v>25235.9</v>
      </c>
      <c r="AE55" s="28">
        <f t="shared" si="13"/>
        <v>1.141229963348378E-2</v>
      </c>
      <c r="AV55" s="176">
        <v>45505</v>
      </c>
      <c r="AW55" s="175">
        <v>87.86</v>
      </c>
      <c r="AX55" s="28">
        <f t="shared" si="14"/>
        <v>2.1034282393957104E-2</v>
      </c>
      <c r="AZ55" s="177">
        <v>45505</v>
      </c>
      <c r="BA55" s="175">
        <v>25235.9</v>
      </c>
      <c r="BB55" s="28">
        <f t="shared" si="15"/>
        <v>1.141229963348378E-2</v>
      </c>
      <c r="BS55" s="176">
        <v>45505</v>
      </c>
      <c r="BT55" s="175">
        <v>1309.7</v>
      </c>
      <c r="BU55" s="28">
        <f t="shared" si="16"/>
        <v>7.0453616673477715E-2</v>
      </c>
      <c r="BW55" s="177">
        <v>45505</v>
      </c>
      <c r="BX55" s="175">
        <v>25235.9</v>
      </c>
      <c r="BY55" s="28">
        <f t="shared" si="17"/>
        <v>1.141229963348378E-2</v>
      </c>
      <c r="CO55" s="176">
        <v>45505</v>
      </c>
      <c r="CP55" s="175">
        <v>563.33000000000004</v>
      </c>
      <c r="CQ55" s="28">
        <f t="shared" si="18"/>
        <v>-2.0261574315628361E-2</v>
      </c>
      <c r="CS55" s="177">
        <v>45505</v>
      </c>
      <c r="CT55" s="175">
        <v>25235.9</v>
      </c>
      <c r="CU55" s="28">
        <f t="shared" si="19"/>
        <v>1.141229963348378E-2</v>
      </c>
      <c r="DL55" s="176">
        <v>45505</v>
      </c>
      <c r="DM55" s="175">
        <v>634.02</v>
      </c>
      <c r="DN55" s="28">
        <f t="shared" si="20"/>
        <v>7.3723346785725674E-3</v>
      </c>
      <c r="DP55" s="177">
        <v>45505</v>
      </c>
      <c r="DQ55" s="175">
        <v>25235.9</v>
      </c>
      <c r="DR55" s="28">
        <f t="shared" si="21"/>
        <v>1.141229963348378E-2</v>
      </c>
    </row>
    <row r="56" spans="2:122" x14ac:dyDescent="0.25">
      <c r="B56" s="176">
        <v>45536</v>
      </c>
      <c r="C56" s="175">
        <v>605.04999999999995</v>
      </c>
      <c r="D56" s="28">
        <f t="shared" si="10"/>
        <v>1.1806217495275773E-2</v>
      </c>
      <c r="F56" s="177">
        <v>45536</v>
      </c>
      <c r="G56" s="175">
        <v>25810.85</v>
      </c>
      <c r="H56" s="28">
        <f t="shared" si="11"/>
        <v>2.2783019428670892E-2</v>
      </c>
      <c r="Y56" s="176">
        <v>45536</v>
      </c>
      <c r="Z56" s="175">
        <v>1187.8499999999999</v>
      </c>
      <c r="AA56" s="28">
        <f t="shared" si="12"/>
        <v>-2.1253717300359076E-3</v>
      </c>
      <c r="AC56" s="177">
        <v>45536</v>
      </c>
      <c r="AD56" s="175">
        <v>25810.85</v>
      </c>
      <c r="AE56" s="28">
        <f t="shared" si="13"/>
        <v>2.2783019428670892E-2</v>
      </c>
      <c r="AV56" s="176">
        <v>45536</v>
      </c>
      <c r="AW56" s="175">
        <v>82.01</v>
      </c>
      <c r="AX56" s="28">
        <f t="shared" si="14"/>
        <v>-6.6583200546323607E-2</v>
      </c>
      <c r="AZ56" s="177">
        <v>45536</v>
      </c>
      <c r="BA56" s="175">
        <v>25810.85</v>
      </c>
      <c r="BB56" s="28">
        <f t="shared" si="15"/>
        <v>2.2783019428670892E-2</v>
      </c>
      <c r="BS56" s="176">
        <v>45536</v>
      </c>
      <c r="BT56" s="175">
        <v>1187.6500000000001</v>
      </c>
      <c r="BU56" s="28">
        <f t="shared" si="16"/>
        <v>-9.3189279987783369E-2</v>
      </c>
      <c r="BW56" s="177">
        <v>45536</v>
      </c>
      <c r="BX56" s="175">
        <v>25810.85</v>
      </c>
      <c r="BY56" s="28">
        <f t="shared" si="17"/>
        <v>2.2783019428670892E-2</v>
      </c>
      <c r="CO56" s="176">
        <v>45536</v>
      </c>
      <c r="CP56" s="175">
        <v>630.79999999999995</v>
      </c>
      <c r="CQ56" s="28">
        <f t="shared" si="18"/>
        <v>0.11976993946709724</v>
      </c>
      <c r="CS56" s="177">
        <v>45536</v>
      </c>
      <c r="CT56" s="175">
        <v>25810.85</v>
      </c>
      <c r="CU56" s="28">
        <f t="shared" si="19"/>
        <v>2.2783019428670892E-2</v>
      </c>
      <c r="DL56" s="176">
        <v>45536</v>
      </c>
      <c r="DM56" s="175">
        <v>622.13</v>
      </c>
      <c r="DN56" s="28">
        <f t="shared" si="20"/>
        <v>-1.8753351629286152E-2</v>
      </c>
      <c r="DP56" s="177">
        <v>45536</v>
      </c>
      <c r="DQ56" s="175">
        <v>25810.85</v>
      </c>
      <c r="DR56" s="28">
        <f t="shared" si="21"/>
        <v>2.2783019428670892E-2</v>
      </c>
    </row>
    <row r="57" spans="2:122" x14ac:dyDescent="0.25">
      <c r="B57" s="176">
        <v>45566</v>
      </c>
      <c r="C57" s="175">
        <v>597.02</v>
      </c>
      <c r="D57" s="28">
        <f t="shared" si="10"/>
        <v>-1.3271630443764892E-2</v>
      </c>
      <c r="F57" s="177">
        <v>45566</v>
      </c>
      <c r="G57" s="175">
        <v>24205.35</v>
      </c>
      <c r="H57" s="28">
        <f t="shared" si="11"/>
        <v>-6.2202523357425266E-2</v>
      </c>
      <c r="Y57" s="176">
        <v>45566</v>
      </c>
      <c r="Z57" s="175">
        <v>995.17</v>
      </c>
      <c r="AA57" s="28">
        <f t="shared" si="12"/>
        <v>-0.16220903312707835</v>
      </c>
      <c r="AC57" s="177">
        <v>45566</v>
      </c>
      <c r="AD57" s="175">
        <v>24205.35</v>
      </c>
      <c r="AE57" s="28">
        <f t="shared" si="13"/>
        <v>-6.2202523357425266E-2</v>
      </c>
      <c r="AV57" s="176">
        <v>45566</v>
      </c>
      <c r="AW57" s="175">
        <v>78.75</v>
      </c>
      <c r="AX57" s="28">
        <f t="shared" si="14"/>
        <v>-3.9751249847579606E-2</v>
      </c>
      <c r="AZ57" s="177">
        <v>45566</v>
      </c>
      <c r="BA57" s="175">
        <v>24205.35</v>
      </c>
      <c r="BB57" s="28">
        <f t="shared" si="15"/>
        <v>-6.2202523357425266E-2</v>
      </c>
      <c r="BS57" s="176">
        <v>45566</v>
      </c>
      <c r="BT57" s="175">
        <v>1085.3499999999999</v>
      </c>
      <c r="BU57" s="28">
        <f t="shared" si="16"/>
        <v>-8.6136488022565683E-2</v>
      </c>
      <c r="BW57" s="177">
        <v>45566</v>
      </c>
      <c r="BX57" s="175">
        <v>24205.35</v>
      </c>
      <c r="BY57" s="28">
        <f t="shared" si="17"/>
        <v>-6.2202523357425266E-2</v>
      </c>
      <c r="CO57" s="176">
        <v>45566</v>
      </c>
      <c r="CP57" s="175">
        <v>526.35</v>
      </c>
      <c r="CQ57" s="28">
        <f t="shared" si="18"/>
        <v>-0.16558338617628399</v>
      </c>
      <c r="CS57" s="177">
        <v>45566</v>
      </c>
      <c r="CT57" s="175">
        <v>24205.35</v>
      </c>
      <c r="CU57" s="28">
        <f t="shared" si="19"/>
        <v>-6.2202523357425266E-2</v>
      </c>
      <c r="DL57" s="176">
        <v>45566</v>
      </c>
      <c r="DM57" s="175">
        <v>537.16999999999996</v>
      </c>
      <c r="DN57" s="28">
        <f t="shared" si="20"/>
        <v>-0.13656309774484443</v>
      </c>
      <c r="DP57" s="177">
        <v>45566</v>
      </c>
      <c r="DQ57" s="175">
        <v>24205.35</v>
      </c>
      <c r="DR57" s="28">
        <f t="shared" si="21"/>
        <v>-6.2202523357425266E-2</v>
      </c>
    </row>
    <row r="58" spans="2:122" x14ac:dyDescent="0.25">
      <c r="B58" s="176">
        <v>45597</v>
      </c>
      <c r="C58" s="175">
        <v>619.83000000000004</v>
      </c>
      <c r="D58" s="28">
        <f t="shared" si="10"/>
        <v>3.8206425245385534E-2</v>
      </c>
      <c r="F58" s="177">
        <v>45597</v>
      </c>
      <c r="G58" s="175">
        <v>24131.1</v>
      </c>
      <c r="H58" s="28">
        <f t="shared" si="11"/>
        <v>-3.0675036717089377E-3</v>
      </c>
      <c r="Y58" s="176">
        <v>45597</v>
      </c>
      <c r="Z58" s="175">
        <v>951.5</v>
      </c>
      <c r="AA58" s="28">
        <f t="shared" si="12"/>
        <v>-4.3881949817619059E-2</v>
      </c>
      <c r="AC58" s="177">
        <v>45597</v>
      </c>
      <c r="AD58" s="175">
        <v>24131.1</v>
      </c>
      <c r="AE58" s="28">
        <f t="shared" si="13"/>
        <v>-3.0675036717089377E-3</v>
      </c>
      <c r="AV58" s="176">
        <v>45597</v>
      </c>
      <c r="AW58" s="175">
        <v>73.83</v>
      </c>
      <c r="AX58" s="28">
        <f t="shared" si="14"/>
        <v>-6.2476190476190463E-2</v>
      </c>
      <c r="AZ58" s="177">
        <v>45597</v>
      </c>
      <c r="BA58" s="175">
        <v>24131.1</v>
      </c>
      <c r="BB58" s="28">
        <f t="shared" si="15"/>
        <v>-3.0675036717089377E-3</v>
      </c>
      <c r="BS58" s="176">
        <v>45597</v>
      </c>
      <c r="BT58" s="175">
        <v>1074.75</v>
      </c>
      <c r="BU58" s="28">
        <f t="shared" si="16"/>
        <v>-9.7664347906204485E-3</v>
      </c>
      <c r="BW58" s="177">
        <v>45597</v>
      </c>
      <c r="BX58" s="175">
        <v>24131.1</v>
      </c>
      <c r="BY58" s="28">
        <f t="shared" si="17"/>
        <v>-3.0675036717089377E-3</v>
      </c>
      <c r="CO58" s="176">
        <v>45597</v>
      </c>
      <c r="CP58" s="175">
        <v>489.35</v>
      </c>
      <c r="CQ58" s="28">
        <f t="shared" si="18"/>
        <v>-7.0295430796998182E-2</v>
      </c>
      <c r="CS58" s="177">
        <v>45597</v>
      </c>
      <c r="CT58" s="175">
        <v>24131.1</v>
      </c>
      <c r="CU58" s="28">
        <f t="shared" si="19"/>
        <v>-3.0675036717089377E-3</v>
      </c>
      <c r="DL58" s="176">
        <v>45597</v>
      </c>
      <c r="DM58" s="175">
        <v>524.34</v>
      </c>
      <c r="DN58" s="28">
        <f t="shared" si="20"/>
        <v>-2.3884431371818837E-2</v>
      </c>
      <c r="DP58" s="177">
        <v>45597</v>
      </c>
      <c r="DQ58" s="175">
        <v>24131.1</v>
      </c>
      <c r="DR58" s="28">
        <f t="shared" si="21"/>
        <v>-3.0675036717089377E-3</v>
      </c>
    </row>
    <row r="59" spans="2:122" x14ac:dyDescent="0.25">
      <c r="B59" s="176">
        <v>45627</v>
      </c>
      <c r="C59" s="175">
        <v>637.24</v>
      </c>
      <c r="D59" s="28">
        <f t="shared" si="10"/>
        <v>2.8088346804769015E-2</v>
      </c>
      <c r="F59" s="177">
        <v>45627</v>
      </c>
      <c r="G59" s="175">
        <v>23644.799999999999</v>
      </c>
      <c r="H59" s="28">
        <f t="shared" si="11"/>
        <v>-2.0152417419844082E-2</v>
      </c>
      <c r="Y59" s="176">
        <v>45627</v>
      </c>
      <c r="Z59" s="175">
        <v>907.62</v>
      </c>
      <c r="AA59" s="28">
        <f t="shared" si="12"/>
        <v>-4.611665790856545E-2</v>
      </c>
      <c r="AC59" s="177">
        <v>45627</v>
      </c>
      <c r="AD59" s="175">
        <v>23644.799999999999</v>
      </c>
      <c r="AE59" s="28">
        <f t="shared" si="13"/>
        <v>-2.0152417419844082E-2</v>
      </c>
      <c r="AV59" s="176">
        <v>45627</v>
      </c>
      <c r="AW59" s="175">
        <v>72.28</v>
      </c>
      <c r="AX59" s="28">
        <f t="shared" si="14"/>
        <v>-2.0994175809291526E-2</v>
      </c>
      <c r="AZ59" s="177">
        <v>45627</v>
      </c>
      <c r="BA59" s="175">
        <v>23644.799999999999</v>
      </c>
      <c r="BB59" s="28">
        <f t="shared" si="15"/>
        <v>-2.0152417419844082E-2</v>
      </c>
      <c r="BS59" s="176">
        <v>45627</v>
      </c>
      <c r="BT59" s="175">
        <v>1003.8</v>
      </c>
      <c r="BU59" s="28">
        <f t="shared" si="16"/>
        <v>-6.6015352407536643E-2</v>
      </c>
      <c r="BW59" s="177">
        <v>45627</v>
      </c>
      <c r="BX59" s="175">
        <v>23644.799999999999</v>
      </c>
      <c r="BY59" s="28">
        <f t="shared" si="17"/>
        <v>-2.0152417419844082E-2</v>
      </c>
      <c r="CO59" s="176">
        <v>45627</v>
      </c>
      <c r="CP59" s="175">
        <v>485</v>
      </c>
      <c r="CQ59" s="28">
        <f t="shared" si="18"/>
        <v>-8.889343006028505E-3</v>
      </c>
      <c r="CS59" s="177">
        <v>45627</v>
      </c>
      <c r="CT59" s="175">
        <v>23644.799999999999</v>
      </c>
      <c r="CU59" s="28">
        <f t="shared" si="19"/>
        <v>-2.0152417419844082E-2</v>
      </c>
      <c r="DL59" s="176">
        <v>45627</v>
      </c>
      <c r="DM59" s="175">
        <v>506.85</v>
      </c>
      <c r="DN59" s="28">
        <f t="shared" si="20"/>
        <v>-3.3356219247053454E-2</v>
      </c>
      <c r="DP59" s="177">
        <v>45627</v>
      </c>
      <c r="DQ59" s="175">
        <v>23644.799999999999</v>
      </c>
      <c r="DR59" s="28">
        <f t="shared" si="21"/>
        <v>-2.0152417419844082E-2</v>
      </c>
    </row>
    <row r="60" spans="2:122" x14ac:dyDescent="0.25">
      <c r="B60" s="176">
        <v>45658</v>
      </c>
      <c r="C60" s="175">
        <v>535.69000000000005</v>
      </c>
      <c r="D60" s="28">
        <f t="shared" si="10"/>
        <v>-0.15935911116690726</v>
      </c>
      <c r="F60" s="177">
        <v>45658</v>
      </c>
      <c r="G60" s="175">
        <v>23508.400000000001</v>
      </c>
      <c r="H60" s="28">
        <f t="shared" si="11"/>
        <v>-5.7687102449586192E-3</v>
      </c>
      <c r="Y60" s="176">
        <v>45658</v>
      </c>
      <c r="Z60" s="175">
        <v>1017.06</v>
      </c>
      <c r="AA60" s="28">
        <f t="shared" si="12"/>
        <v>0.12057909697891178</v>
      </c>
      <c r="AC60" s="177">
        <v>45658</v>
      </c>
      <c r="AD60" s="175">
        <v>23508.400000000001</v>
      </c>
      <c r="AE60" s="28">
        <f t="shared" si="13"/>
        <v>-5.7687102449586192E-3</v>
      </c>
      <c r="AV60" s="176">
        <v>45658</v>
      </c>
      <c r="AW60" s="175">
        <v>74.790000000000006</v>
      </c>
      <c r="AX60" s="28">
        <f t="shared" si="14"/>
        <v>3.4726065301605047E-2</v>
      </c>
      <c r="AZ60" s="177">
        <v>45658</v>
      </c>
      <c r="BA60" s="175">
        <v>23508.400000000001</v>
      </c>
      <c r="BB60" s="28">
        <f t="shared" si="15"/>
        <v>-5.7687102449586192E-3</v>
      </c>
      <c r="BS60" s="176">
        <v>45658</v>
      </c>
      <c r="BT60" s="175">
        <v>941.6</v>
      </c>
      <c r="BU60" s="28">
        <f t="shared" si="16"/>
        <v>-6.1964534767881996E-2</v>
      </c>
      <c r="BW60" s="177">
        <v>45658</v>
      </c>
      <c r="BX60" s="175">
        <v>23508.400000000001</v>
      </c>
      <c r="BY60" s="28">
        <f t="shared" si="17"/>
        <v>-5.7687102449586192E-3</v>
      </c>
      <c r="CO60" s="176">
        <v>45658</v>
      </c>
      <c r="CP60" s="175">
        <v>434.3</v>
      </c>
      <c r="CQ60" s="28">
        <f t="shared" si="18"/>
        <v>-0.10453608247422674</v>
      </c>
      <c r="CS60" s="177">
        <v>45658</v>
      </c>
      <c r="CT60" s="175">
        <v>23508.400000000001</v>
      </c>
      <c r="CU60" s="28">
        <f t="shared" si="19"/>
        <v>-5.7687102449586192E-3</v>
      </c>
      <c r="DL60" s="176">
        <v>45658</v>
      </c>
      <c r="DM60" s="175">
        <v>529.4</v>
      </c>
      <c r="DN60" s="28">
        <f t="shared" si="20"/>
        <v>4.4490480418269529E-2</v>
      </c>
      <c r="DP60" s="177">
        <v>45658</v>
      </c>
      <c r="DQ60" s="175">
        <v>23508.400000000001</v>
      </c>
      <c r="DR60" s="28">
        <f t="shared" si="21"/>
        <v>-5.7687102449586192E-3</v>
      </c>
    </row>
    <row r="61" spans="2:122" x14ac:dyDescent="0.25">
      <c r="B61" s="176">
        <v>45689</v>
      </c>
      <c r="C61" s="175">
        <v>434.63</v>
      </c>
      <c r="D61" s="28">
        <f t="shared" si="10"/>
        <v>-0.18865388564281593</v>
      </c>
      <c r="F61" s="177">
        <v>45689</v>
      </c>
      <c r="G61" s="175">
        <v>22124.7</v>
      </c>
      <c r="H61" s="28">
        <f t="shared" si="11"/>
        <v>-5.8859811811948104E-2</v>
      </c>
      <c r="Y61" s="176">
        <v>45689</v>
      </c>
      <c r="Z61" s="175">
        <v>956.21</v>
      </c>
      <c r="AA61" s="28">
        <f t="shared" si="12"/>
        <v>-5.9829311938331964E-2</v>
      </c>
      <c r="AC61" s="177">
        <v>45689</v>
      </c>
      <c r="AD61" s="175">
        <v>22124.7</v>
      </c>
      <c r="AE61" s="28">
        <f t="shared" si="13"/>
        <v>-5.8859811811948104E-2</v>
      </c>
      <c r="AV61" s="176">
        <v>45689</v>
      </c>
      <c r="AW61" s="175">
        <v>84.1</v>
      </c>
      <c r="AX61" s="28">
        <f t="shared" si="14"/>
        <v>0.12448188260462612</v>
      </c>
      <c r="AZ61" s="177">
        <v>45689</v>
      </c>
      <c r="BA61" s="175">
        <v>22124.7</v>
      </c>
      <c r="BB61" s="28">
        <f t="shared" si="15"/>
        <v>-5.8859811811948104E-2</v>
      </c>
      <c r="BS61" s="176">
        <v>45689</v>
      </c>
      <c r="BT61" s="175">
        <v>967.45</v>
      </c>
      <c r="BU61" s="28">
        <f t="shared" si="16"/>
        <v>2.7453271028037296E-2</v>
      </c>
      <c r="BW61" s="177">
        <v>45689</v>
      </c>
      <c r="BX61" s="175">
        <v>22124.7</v>
      </c>
      <c r="BY61" s="28">
        <f t="shared" si="17"/>
        <v>-5.8859811811948104E-2</v>
      </c>
      <c r="CO61" s="176">
        <v>45689</v>
      </c>
      <c r="CP61" s="175">
        <v>361.5</v>
      </c>
      <c r="CQ61" s="28">
        <f t="shared" si="18"/>
        <v>-0.16762606493207466</v>
      </c>
      <c r="CS61" s="177">
        <v>45689</v>
      </c>
      <c r="CT61" s="175">
        <v>22124.7</v>
      </c>
      <c r="CU61" s="28">
        <f t="shared" si="19"/>
        <v>-5.8859811811948104E-2</v>
      </c>
      <c r="DL61" s="176">
        <v>45689</v>
      </c>
      <c r="DM61" s="175">
        <v>494.15</v>
      </c>
      <c r="DN61" s="28">
        <f t="shared" si="20"/>
        <v>-6.65848129958444E-2</v>
      </c>
      <c r="DP61" s="177">
        <v>45689</v>
      </c>
      <c r="DQ61" s="175">
        <v>22124.7</v>
      </c>
      <c r="DR61" s="28">
        <f t="shared" si="21"/>
        <v>-5.8859811811948104E-2</v>
      </c>
    </row>
    <row r="62" spans="2:122" x14ac:dyDescent="0.25">
      <c r="B62" s="176">
        <v>45717</v>
      </c>
      <c r="C62" s="175">
        <v>538.58000000000004</v>
      </c>
      <c r="D62" s="28">
        <f t="shared" si="10"/>
        <v>0.23916894830085367</v>
      </c>
      <c r="F62" s="177">
        <v>45717</v>
      </c>
      <c r="G62" s="175">
        <v>23519.35</v>
      </c>
      <c r="H62" s="28">
        <f t="shared" si="11"/>
        <v>6.3035882972424462E-2</v>
      </c>
      <c r="Y62" s="176">
        <v>45717</v>
      </c>
      <c r="Z62" s="175">
        <v>994.38</v>
      </c>
      <c r="AA62" s="28">
        <f t="shared" si="12"/>
        <v>3.9918009642233354E-2</v>
      </c>
      <c r="AC62" s="177">
        <v>45717</v>
      </c>
      <c r="AD62" s="175">
        <v>23519.35</v>
      </c>
      <c r="AE62" s="28">
        <f t="shared" si="13"/>
        <v>6.3035882972424462E-2</v>
      </c>
      <c r="AV62" s="176">
        <v>45717</v>
      </c>
      <c r="AW62" s="175">
        <v>86.24</v>
      </c>
      <c r="AX62" s="28">
        <f t="shared" si="14"/>
        <v>2.5445897740784762E-2</v>
      </c>
      <c r="AZ62" s="177">
        <v>45717</v>
      </c>
      <c r="BA62" s="175">
        <v>23519.35</v>
      </c>
      <c r="BB62" s="28">
        <f t="shared" si="15"/>
        <v>6.3035882972424462E-2</v>
      </c>
      <c r="BS62" s="176">
        <v>45717</v>
      </c>
      <c r="BT62" s="175">
        <v>964.7</v>
      </c>
      <c r="BU62" s="28">
        <f t="shared" si="16"/>
        <v>-2.842524161455362E-3</v>
      </c>
      <c r="BW62" s="177">
        <v>45717</v>
      </c>
      <c r="BX62" s="175">
        <v>23519.35</v>
      </c>
      <c r="BY62" s="28">
        <f t="shared" si="17"/>
        <v>6.3035882972424462E-2</v>
      </c>
      <c r="CO62" s="176">
        <v>45717</v>
      </c>
      <c r="CP62" s="175">
        <v>385.2</v>
      </c>
      <c r="CQ62" s="28">
        <f t="shared" si="18"/>
        <v>6.5560165975103724E-2</v>
      </c>
      <c r="CS62" s="177">
        <v>45717</v>
      </c>
      <c r="CT62" s="175">
        <v>23519.35</v>
      </c>
      <c r="CU62" s="28">
        <f t="shared" si="19"/>
        <v>6.3035882972424462E-2</v>
      </c>
      <c r="DL62" s="176">
        <v>45717</v>
      </c>
      <c r="DM62" s="175">
        <v>506.55</v>
      </c>
      <c r="DN62" s="28">
        <f t="shared" si="20"/>
        <v>2.5093595062228191E-2</v>
      </c>
      <c r="DP62" s="177">
        <v>45717</v>
      </c>
      <c r="DQ62" s="175">
        <v>23519.35</v>
      </c>
      <c r="DR62" s="28">
        <f t="shared" si="21"/>
        <v>6.3035882972424462E-2</v>
      </c>
    </row>
    <row r="63" spans="2:122" x14ac:dyDescent="0.25">
      <c r="B63" s="176">
        <v>45748</v>
      </c>
      <c r="C63" s="175">
        <v>520.02</v>
      </c>
      <c r="D63" s="28">
        <f t="shared" si="10"/>
        <v>-3.4460990010769188E-2</v>
      </c>
      <c r="F63" s="177">
        <v>45748</v>
      </c>
      <c r="G63" s="175">
        <v>24334.2</v>
      </c>
      <c r="H63" s="28">
        <f t="shared" si="11"/>
        <v>3.4645940470293679E-2</v>
      </c>
      <c r="Y63" s="176">
        <v>45748</v>
      </c>
      <c r="Z63" s="175">
        <v>1155.49</v>
      </c>
      <c r="AA63" s="28">
        <f t="shared" si="12"/>
        <v>0.16202055552203376</v>
      </c>
      <c r="AC63" s="177">
        <v>45748</v>
      </c>
      <c r="AD63" s="175">
        <v>24334.2</v>
      </c>
      <c r="AE63" s="28">
        <f t="shared" si="13"/>
        <v>3.4645940470293679E-2</v>
      </c>
      <c r="AV63" s="176">
        <v>45748</v>
      </c>
      <c r="AW63" s="175">
        <v>84.7</v>
      </c>
      <c r="AX63" s="28">
        <f t="shared" si="14"/>
        <v>-1.7857142857142794E-2</v>
      </c>
      <c r="AZ63" s="177">
        <v>45748</v>
      </c>
      <c r="BA63" s="175">
        <v>24334.2</v>
      </c>
      <c r="BB63" s="28">
        <f t="shared" si="15"/>
        <v>3.4645940470293679E-2</v>
      </c>
      <c r="BS63" s="176">
        <v>45748</v>
      </c>
      <c r="BT63" s="175">
        <v>903.95</v>
      </c>
      <c r="BU63" s="28">
        <f t="shared" si="16"/>
        <v>-6.2972944956981469E-2</v>
      </c>
      <c r="BW63" s="177">
        <v>45748</v>
      </c>
      <c r="BX63" s="175">
        <v>24334.2</v>
      </c>
      <c r="BY63" s="28">
        <f t="shared" si="17"/>
        <v>3.4645940470293679E-2</v>
      </c>
      <c r="CO63" s="176">
        <v>45748</v>
      </c>
      <c r="CP63" s="175">
        <v>390.45</v>
      </c>
      <c r="CQ63" s="28">
        <f t="shared" si="18"/>
        <v>1.3629283489096533E-2</v>
      </c>
      <c r="CS63" s="177">
        <v>45748</v>
      </c>
      <c r="CT63" s="175">
        <v>24334.2</v>
      </c>
      <c r="CU63" s="28">
        <f t="shared" si="19"/>
        <v>3.4645940470293679E-2</v>
      </c>
      <c r="DL63" s="176">
        <v>45748</v>
      </c>
      <c r="DM63" s="175">
        <v>487.45</v>
      </c>
      <c r="DN63" s="28">
        <f t="shared" si="20"/>
        <v>-3.7706050735366703E-2</v>
      </c>
      <c r="DP63" s="177">
        <v>45748</v>
      </c>
      <c r="DQ63" s="175">
        <v>24334.2</v>
      </c>
      <c r="DR63" s="28">
        <f t="shared" si="21"/>
        <v>3.4645940470293679E-2</v>
      </c>
    </row>
    <row r="64" spans="2:122" x14ac:dyDescent="0.25">
      <c r="B64" s="176">
        <v>45778</v>
      </c>
      <c r="C64" s="175">
        <v>475.44</v>
      </c>
      <c r="D64" s="28">
        <f t="shared" si="10"/>
        <v>-8.5727472020306839E-2</v>
      </c>
      <c r="F64" s="177">
        <v>45778</v>
      </c>
      <c r="G64" s="175">
        <v>24750.7</v>
      </c>
      <c r="H64" s="28">
        <f t="shared" si="11"/>
        <v>1.7115828751304685E-2</v>
      </c>
      <c r="Y64" s="176">
        <v>45778</v>
      </c>
      <c r="Z64" s="175">
        <v>1099.8499999999999</v>
      </c>
      <c r="AA64" s="28">
        <f t="shared" si="12"/>
        <v>-4.8152731741512356E-2</v>
      </c>
      <c r="AC64" s="177">
        <v>45778</v>
      </c>
      <c r="AD64" s="175">
        <v>24750.7</v>
      </c>
      <c r="AE64" s="28">
        <f t="shared" si="13"/>
        <v>1.7115828751304685E-2</v>
      </c>
      <c r="AV64" s="176">
        <v>45778</v>
      </c>
      <c r="AW64" s="175">
        <v>87.7</v>
      </c>
      <c r="AX64" s="28">
        <f t="shared" ref="AX64:AX67" si="22">AW64/AW63-1</f>
        <v>3.541912632821731E-2</v>
      </c>
      <c r="AZ64" s="177">
        <v>45778</v>
      </c>
      <c r="BA64" s="175">
        <v>24750.7</v>
      </c>
      <c r="BB64" s="28">
        <f t="shared" si="15"/>
        <v>1.7115828751304685E-2</v>
      </c>
      <c r="BS64" s="176">
        <v>45778</v>
      </c>
      <c r="BT64" s="175">
        <v>964.5</v>
      </c>
      <c r="BU64" s="28">
        <f t="shared" si="16"/>
        <v>6.6983793351402143E-2</v>
      </c>
      <c r="BW64" s="177">
        <v>45778</v>
      </c>
      <c r="BX64" s="175">
        <v>24750.7</v>
      </c>
      <c r="BY64" s="28">
        <f t="shared" si="17"/>
        <v>1.7115828751304685E-2</v>
      </c>
      <c r="CO64" s="176">
        <v>45778</v>
      </c>
      <c r="CP64" s="175">
        <v>404.3</v>
      </c>
      <c r="CQ64" s="28">
        <f t="shared" si="18"/>
        <v>3.5471891407350631E-2</v>
      </c>
      <c r="CS64" s="177">
        <v>45778</v>
      </c>
      <c r="CT64" s="175">
        <v>24750.7</v>
      </c>
      <c r="CU64" s="28">
        <f t="shared" si="19"/>
        <v>1.7115828751304685E-2</v>
      </c>
      <c r="DL64" s="176">
        <v>45778</v>
      </c>
      <c r="DM64" s="175">
        <v>484.15</v>
      </c>
      <c r="DN64" s="28">
        <f t="shared" si="20"/>
        <v>-6.7699251205252109E-3</v>
      </c>
      <c r="DP64" s="177">
        <v>45778</v>
      </c>
      <c r="DQ64" s="175">
        <v>24750.7</v>
      </c>
      <c r="DR64" s="28">
        <f t="shared" si="21"/>
        <v>1.7115828751304685E-2</v>
      </c>
    </row>
    <row r="65" spans="2:122" x14ac:dyDescent="0.25">
      <c r="B65" s="176">
        <v>45809</v>
      </c>
      <c r="C65" s="175">
        <v>457.55</v>
      </c>
      <c r="D65" s="28">
        <f t="shared" si="10"/>
        <v>-3.7628302204273933E-2</v>
      </c>
      <c r="F65" s="177">
        <v>45809</v>
      </c>
      <c r="G65" s="175">
        <v>25517.05</v>
      </c>
      <c r="H65" s="28">
        <f t="shared" si="11"/>
        <v>3.0962760649193788E-2</v>
      </c>
      <c r="Y65" s="176">
        <v>45809</v>
      </c>
      <c r="Z65" s="175">
        <v>1099.2</v>
      </c>
      <c r="AA65" s="28">
        <f t="shared" si="12"/>
        <v>-5.90989680410825E-4</v>
      </c>
      <c r="AC65" s="177">
        <v>45809</v>
      </c>
      <c r="AD65" s="175">
        <v>25517.05</v>
      </c>
      <c r="AE65" s="28">
        <f t="shared" si="13"/>
        <v>3.0962760649193788E-2</v>
      </c>
      <c r="AV65" s="176">
        <v>45809</v>
      </c>
      <c r="AW65" s="175">
        <v>78.83</v>
      </c>
      <c r="AX65" s="28">
        <f t="shared" si="22"/>
        <v>-0.10114025085518819</v>
      </c>
      <c r="AZ65" s="177">
        <v>45809</v>
      </c>
      <c r="BA65" s="175">
        <v>25517.05</v>
      </c>
      <c r="BB65" s="28">
        <f t="shared" si="15"/>
        <v>3.0962760649193788E-2</v>
      </c>
      <c r="BS65" s="176">
        <v>45809</v>
      </c>
      <c r="BT65" s="175">
        <v>957.45</v>
      </c>
      <c r="BU65" s="28">
        <f t="shared" si="16"/>
        <v>-7.3094867807153019E-3</v>
      </c>
      <c r="BW65" s="177">
        <v>45809</v>
      </c>
      <c r="BX65" s="175">
        <v>25517.05</v>
      </c>
      <c r="BY65" s="28">
        <f t="shared" si="17"/>
        <v>3.0962760649193788E-2</v>
      </c>
      <c r="CO65" s="176">
        <v>45809</v>
      </c>
      <c r="CP65" s="175">
        <v>497.25</v>
      </c>
      <c r="CQ65" s="28">
        <f t="shared" si="18"/>
        <v>0.229903536977492</v>
      </c>
      <c r="CS65" s="177">
        <v>45809</v>
      </c>
      <c r="CT65" s="175">
        <v>25517.05</v>
      </c>
      <c r="CU65" s="28">
        <f t="shared" si="19"/>
        <v>3.0962760649193788E-2</v>
      </c>
      <c r="DL65" s="176">
        <v>45809</v>
      </c>
      <c r="DM65" s="175">
        <v>485.1</v>
      </c>
      <c r="DN65" s="28">
        <f t="shared" si="20"/>
        <v>1.962201796963825E-3</v>
      </c>
      <c r="DP65" s="177">
        <v>45809</v>
      </c>
      <c r="DQ65" s="175">
        <v>25517.05</v>
      </c>
      <c r="DR65" s="28">
        <f t="shared" si="21"/>
        <v>3.0962760649193788E-2</v>
      </c>
    </row>
    <row r="66" spans="2:122" x14ac:dyDescent="0.25">
      <c r="B66" s="176">
        <v>45839</v>
      </c>
      <c r="C66" s="175">
        <v>459.75</v>
      </c>
      <c r="D66" s="28">
        <f t="shared" si="10"/>
        <v>4.8082176811277133E-3</v>
      </c>
      <c r="F66" s="177">
        <v>45839</v>
      </c>
      <c r="G66" s="175">
        <v>25355.25</v>
      </c>
      <c r="H66" s="28">
        <f t="shared" si="11"/>
        <v>-6.3408583672485141E-3</v>
      </c>
      <c r="Y66" s="176">
        <v>45839</v>
      </c>
      <c r="Z66" s="175">
        <v>1087.8499999999999</v>
      </c>
      <c r="AA66" s="28">
        <f t="shared" si="12"/>
        <v>-1.0325691411936067E-2</v>
      </c>
      <c r="AC66" s="177">
        <v>45839</v>
      </c>
      <c r="AD66" s="175">
        <v>25355.25</v>
      </c>
      <c r="AE66" s="28">
        <f t="shared" si="13"/>
        <v>-6.3408583672485141E-3</v>
      </c>
      <c r="AV66" s="176">
        <v>45839</v>
      </c>
      <c r="AW66" s="175">
        <v>77.88</v>
      </c>
      <c r="AX66" s="28">
        <f t="shared" si="22"/>
        <v>-1.2051249524292817E-2</v>
      </c>
      <c r="AZ66" s="177">
        <v>45839</v>
      </c>
      <c r="BA66" s="175">
        <v>25355.25</v>
      </c>
      <c r="BB66" s="28">
        <f t="shared" si="15"/>
        <v>-6.3408583672485141E-3</v>
      </c>
      <c r="BS66" s="176">
        <v>45839</v>
      </c>
      <c r="BT66" s="175">
        <v>954.85</v>
      </c>
      <c r="BU66" s="28">
        <f t="shared" si="16"/>
        <v>-2.7155465037338455E-3</v>
      </c>
      <c r="BW66" s="177">
        <v>45839</v>
      </c>
      <c r="BX66" s="175">
        <v>25355.25</v>
      </c>
      <c r="BY66" s="28">
        <f t="shared" si="17"/>
        <v>-6.3408583672485141E-3</v>
      </c>
      <c r="CO66" s="176">
        <v>45839</v>
      </c>
      <c r="CP66" s="175">
        <v>491.6</v>
      </c>
      <c r="CQ66" s="28">
        <f t="shared" si="18"/>
        <v>-1.1362493715434852E-2</v>
      </c>
      <c r="CS66" s="177">
        <v>45839</v>
      </c>
      <c r="CT66" s="175">
        <v>25355.25</v>
      </c>
      <c r="CU66" s="28">
        <f t="shared" si="19"/>
        <v>-6.3408583672485141E-3</v>
      </c>
      <c r="DL66" s="176">
        <v>45839</v>
      </c>
      <c r="DM66" s="175">
        <v>522.35</v>
      </c>
      <c r="DN66" s="28">
        <f t="shared" si="20"/>
        <v>7.6788291074005421E-2</v>
      </c>
      <c r="DP66" s="177">
        <v>45839</v>
      </c>
      <c r="DQ66" s="175">
        <v>25355.25</v>
      </c>
      <c r="DR66" s="28">
        <f t="shared" si="21"/>
        <v>-6.3408583672485141E-3</v>
      </c>
    </row>
    <row r="67" spans="2:122" x14ac:dyDescent="0.25">
      <c r="B67" s="176">
        <v>45849</v>
      </c>
      <c r="C67" s="175">
        <v>452.25</v>
      </c>
      <c r="D67" s="28">
        <f t="shared" si="10"/>
        <v>-1.6313213703099461E-2</v>
      </c>
      <c r="F67" s="177">
        <v>45849</v>
      </c>
      <c r="G67" s="175">
        <v>25149.85</v>
      </c>
      <c r="H67" s="28">
        <f t="shared" si="11"/>
        <v>-8.1008864041963724E-3</v>
      </c>
      <c r="Y67" s="176">
        <v>45849</v>
      </c>
      <c r="Z67" s="175">
        <v>1076.9000000000001</v>
      </c>
      <c r="AA67" s="28">
        <f t="shared" si="12"/>
        <v>-1.0065725973249839E-2</v>
      </c>
      <c r="AC67" s="177">
        <v>45849</v>
      </c>
      <c r="AD67" s="175">
        <v>25149.85</v>
      </c>
      <c r="AE67" s="28">
        <f t="shared" si="13"/>
        <v>-8.1008864041963724E-3</v>
      </c>
      <c r="AV67" s="176">
        <v>45849</v>
      </c>
      <c r="AW67" s="175">
        <v>77.02</v>
      </c>
      <c r="AX67" s="28">
        <f t="shared" si="22"/>
        <v>-1.1042629686697447E-2</v>
      </c>
      <c r="AZ67" s="177">
        <v>45849</v>
      </c>
      <c r="BA67" s="175">
        <v>25149.85</v>
      </c>
      <c r="BB67" s="28">
        <f t="shared" si="15"/>
        <v>-8.1008864041963724E-3</v>
      </c>
      <c r="BS67" s="176">
        <v>45849</v>
      </c>
      <c r="BT67" s="175">
        <v>946.85</v>
      </c>
      <c r="BU67" s="28">
        <f t="shared" si="16"/>
        <v>-8.3782793108865272E-3</v>
      </c>
      <c r="BW67" s="177">
        <v>45849</v>
      </c>
      <c r="BX67" s="175">
        <v>25149.85</v>
      </c>
      <c r="BY67" s="28">
        <f t="shared" si="17"/>
        <v>-8.1008864041963724E-3</v>
      </c>
      <c r="CO67" s="176">
        <v>45849</v>
      </c>
      <c r="CP67" s="175">
        <v>475.95</v>
      </c>
      <c r="CQ67" s="28">
        <f t="shared" si="18"/>
        <v>-3.1834825061025307E-2</v>
      </c>
      <c r="CS67" s="177">
        <v>45849</v>
      </c>
      <c r="CT67" s="175">
        <v>25149.85</v>
      </c>
      <c r="CU67" s="28">
        <f t="shared" si="19"/>
        <v>-8.1008864041963724E-3</v>
      </c>
      <c r="DL67" s="176">
        <v>45849</v>
      </c>
      <c r="DM67" s="175">
        <v>531.45000000000005</v>
      </c>
      <c r="DN67" s="28">
        <f t="shared" si="20"/>
        <v>1.7421269263903527E-2</v>
      </c>
      <c r="DP67" s="177">
        <v>45849</v>
      </c>
      <c r="DQ67" s="175">
        <v>25149.85</v>
      </c>
      <c r="DR67" s="28">
        <f t="shared" si="21"/>
        <v>-8.1008864041963724E-3</v>
      </c>
    </row>
  </sheetData>
  <mergeCells count="30">
    <mergeCell ref="B2:O2"/>
    <mergeCell ref="Y2:AL2"/>
    <mergeCell ref="AV2:BI2"/>
    <mergeCell ref="CO2:DI2"/>
    <mergeCell ref="CO3:CQ3"/>
    <mergeCell ref="CS3:CU3"/>
    <mergeCell ref="CW3:CY3"/>
    <mergeCell ref="DA3:DB3"/>
    <mergeCell ref="BS3:BU3"/>
    <mergeCell ref="BW3:BY3"/>
    <mergeCell ref="CA3:CC3"/>
    <mergeCell ref="CE3:CF3"/>
    <mergeCell ref="BS2:CM2"/>
    <mergeCell ref="AK3:AL3"/>
    <mergeCell ref="AV3:AX3"/>
    <mergeCell ref="AZ3:BB3"/>
    <mergeCell ref="DL2:EF2"/>
    <mergeCell ref="DL3:DN3"/>
    <mergeCell ref="DP3:DR3"/>
    <mergeCell ref="DT3:DV3"/>
    <mergeCell ref="DX3:DY3"/>
    <mergeCell ref="B3:D3"/>
    <mergeCell ref="F3:H3"/>
    <mergeCell ref="J3:L3"/>
    <mergeCell ref="BD3:BF3"/>
    <mergeCell ref="BH3:BI3"/>
    <mergeCell ref="N3:O3"/>
    <mergeCell ref="Y3:AA3"/>
    <mergeCell ref="AC3:AE3"/>
    <mergeCell ref="AG3:A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showGridLines="0" workbookViewId="0">
      <selection activeCell="K11" sqref="K11"/>
    </sheetView>
  </sheetViews>
  <sheetFormatPr defaultRowHeight="15" x14ac:dyDescent="0.25"/>
  <cols>
    <col min="1" max="1" width="1.85546875" customWidth="1"/>
  </cols>
  <sheetData>
    <row r="2" spans="2:15" x14ac:dyDescent="0.25">
      <c r="B2" s="269" t="str">
        <f>"Return on Markets"&amp;" - "&amp;'Data Sheet'!B1</f>
        <v>Return on Markets - VARUN BEVERAGES LTD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</row>
    <row r="4" spans="2:15" x14ac:dyDescent="0.25">
      <c r="B4" s="186" t="s">
        <v>217</v>
      </c>
      <c r="C4" s="187" t="s">
        <v>315</v>
      </c>
      <c r="D4" s="30"/>
    </row>
    <row r="5" spans="2:15" x14ac:dyDescent="0.25">
      <c r="B5" s="116">
        <v>2000</v>
      </c>
      <c r="C5" s="59">
        <v>-0.14649999999999999</v>
      </c>
    </row>
    <row r="6" spans="2:15" x14ac:dyDescent="0.25">
      <c r="B6" s="116">
        <v>2001</v>
      </c>
      <c r="C6" s="59">
        <v>-0.1618</v>
      </c>
      <c r="F6" s="270" t="s">
        <v>316</v>
      </c>
      <c r="G6" s="270"/>
      <c r="H6" s="195">
        <f>AVERAGE(C5:C29)</f>
        <v>0.15334799999999998</v>
      </c>
    </row>
    <row r="7" spans="2:15" ht="17.25" x14ac:dyDescent="0.25">
      <c r="B7" s="116">
        <v>2002</v>
      </c>
      <c r="C7" s="59">
        <v>3.2500000000000001E-2</v>
      </c>
      <c r="F7" s="268" t="s">
        <v>318</v>
      </c>
      <c r="G7" s="270"/>
      <c r="H7" s="59" t="s">
        <v>319</v>
      </c>
    </row>
    <row r="8" spans="2:15" x14ac:dyDescent="0.25">
      <c r="B8" s="116">
        <v>2003</v>
      </c>
      <c r="C8" s="59">
        <v>0.71900000000000008</v>
      </c>
      <c r="F8" s="271" t="s">
        <v>317</v>
      </c>
      <c r="G8" s="271"/>
      <c r="H8" s="196">
        <f>SUM(H6:H7)</f>
        <v>0.15334799999999998</v>
      </c>
    </row>
    <row r="9" spans="2:15" x14ac:dyDescent="0.25">
      <c r="B9" s="116">
        <v>2004</v>
      </c>
      <c r="C9" s="59">
        <v>0.10679999999999999</v>
      </c>
    </row>
    <row r="10" spans="2:15" x14ac:dyDescent="0.25">
      <c r="B10" s="116">
        <v>2005</v>
      </c>
      <c r="C10" s="59">
        <v>0.36340000000000006</v>
      </c>
    </row>
    <row r="11" spans="2:15" x14ac:dyDescent="0.25">
      <c r="B11" s="116">
        <v>2006</v>
      </c>
      <c r="C11" s="59">
        <v>0.39829999999999999</v>
      </c>
    </row>
    <row r="12" spans="2:15" x14ac:dyDescent="0.25">
      <c r="B12" s="116">
        <v>2007</v>
      </c>
      <c r="C12" s="59">
        <v>0.54770000000000008</v>
      </c>
    </row>
    <row r="13" spans="2:15" x14ac:dyDescent="0.25">
      <c r="B13" s="116">
        <v>2008</v>
      </c>
      <c r="C13" s="59">
        <v>-0.51790000000000003</v>
      </c>
    </row>
    <row r="14" spans="2:15" x14ac:dyDescent="0.25">
      <c r="B14" s="116">
        <v>2009</v>
      </c>
      <c r="C14" s="59">
        <v>0.75760000000000005</v>
      </c>
    </row>
    <row r="15" spans="2:15" x14ac:dyDescent="0.25">
      <c r="B15" s="116">
        <v>2010</v>
      </c>
      <c r="C15" s="59">
        <v>0.17949999999999999</v>
      </c>
    </row>
    <row r="16" spans="2:15" x14ac:dyDescent="0.25">
      <c r="B16" s="116">
        <v>2011</v>
      </c>
      <c r="C16" s="59">
        <v>-0.2462</v>
      </c>
    </row>
    <row r="17" spans="2:3" x14ac:dyDescent="0.25">
      <c r="B17" s="116">
        <v>2012</v>
      </c>
      <c r="C17" s="59">
        <v>0.27699999999999997</v>
      </c>
    </row>
    <row r="18" spans="2:3" x14ac:dyDescent="0.25">
      <c r="B18" s="116">
        <v>2013</v>
      </c>
      <c r="C18" s="59">
        <v>6.7599999999999993E-2</v>
      </c>
    </row>
    <row r="19" spans="2:3" x14ac:dyDescent="0.25">
      <c r="B19" s="116">
        <v>2014</v>
      </c>
      <c r="C19" s="59">
        <v>0.31390000000000001</v>
      </c>
    </row>
    <row r="20" spans="2:3" x14ac:dyDescent="0.25">
      <c r="B20" s="116">
        <v>2015</v>
      </c>
      <c r="C20" s="59">
        <v>-4.0599999999999997E-2</v>
      </c>
    </row>
    <row r="21" spans="2:3" x14ac:dyDescent="0.25">
      <c r="B21" s="116">
        <v>2016</v>
      </c>
      <c r="C21" s="59">
        <v>3.0099999999999998E-2</v>
      </c>
    </row>
    <row r="22" spans="2:3" x14ac:dyDescent="0.25">
      <c r="B22" s="116">
        <v>2017</v>
      </c>
      <c r="C22" s="59">
        <v>0.28649999999999998</v>
      </c>
    </row>
    <row r="23" spans="2:3" x14ac:dyDescent="0.25">
      <c r="B23" s="116">
        <v>2018</v>
      </c>
      <c r="C23" s="59">
        <v>3.15E-2</v>
      </c>
    </row>
    <row r="24" spans="2:3" x14ac:dyDescent="0.25">
      <c r="B24" s="116">
        <v>2019</v>
      </c>
      <c r="C24" s="59">
        <v>0.1202</v>
      </c>
    </row>
    <row r="25" spans="2:3" x14ac:dyDescent="0.25">
      <c r="B25" s="116">
        <v>2020</v>
      </c>
      <c r="C25" s="59">
        <v>0.14899999999999999</v>
      </c>
    </row>
    <row r="26" spans="2:3" x14ac:dyDescent="0.25">
      <c r="B26" s="116">
        <v>2021</v>
      </c>
      <c r="C26" s="59">
        <v>0.2412</v>
      </c>
    </row>
    <row r="27" spans="2:3" x14ac:dyDescent="0.25">
      <c r="B27" s="116">
        <v>2022</v>
      </c>
      <c r="C27" s="59">
        <v>4.3200000000000002E-2</v>
      </c>
    </row>
    <row r="28" spans="2:3" x14ac:dyDescent="0.25">
      <c r="B28" s="116">
        <v>2023</v>
      </c>
      <c r="C28" s="59">
        <v>0.19420000000000001</v>
      </c>
    </row>
    <row r="29" spans="2:3" x14ac:dyDescent="0.25">
      <c r="B29" s="116">
        <v>2024</v>
      </c>
      <c r="C29" s="59">
        <v>8.7499999999999994E-2</v>
      </c>
    </row>
    <row r="30" spans="2:3" x14ac:dyDescent="0.25">
      <c r="B30" s="116"/>
    </row>
  </sheetData>
  <mergeCells count="4">
    <mergeCell ref="F6:G6"/>
    <mergeCell ref="F7:G7"/>
    <mergeCell ref="F8:G8"/>
    <mergeCell ref="B2:O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topLeftCell="A22" zoomScale="98" zoomScaleNormal="98" workbookViewId="0">
      <selection activeCell="J32" sqref="J32"/>
    </sheetView>
  </sheetViews>
  <sheetFormatPr defaultRowHeight="15" outlineLevelRow="1" x14ac:dyDescent="0.25"/>
  <cols>
    <col min="1" max="1" width="1.85546875" customWidth="1"/>
    <col min="7" max="7" width="14" customWidth="1"/>
    <col min="8" max="8" width="11.5703125" bestFit="1" customWidth="1"/>
    <col min="9" max="9" width="11.5703125" customWidth="1"/>
    <col min="10" max="12" width="11.5703125" bestFit="1" customWidth="1"/>
    <col min="13" max="15" width="9.140625" customWidth="1"/>
  </cols>
  <sheetData>
    <row r="2" spans="2:13" x14ac:dyDescent="0.25">
      <c r="B2" s="265" t="str">
        <f>'Data Sheet'!$B$1&amp;" - "&amp;"Calculation of PV of FCFF"</f>
        <v>VARUN BEVERAGES LTD - Calculation of PV of FCFF</v>
      </c>
      <c r="C2" s="265"/>
      <c r="D2" s="265"/>
      <c r="E2" s="265"/>
      <c r="F2" s="265"/>
      <c r="G2" s="265"/>
      <c r="H2" s="265"/>
      <c r="I2" s="265"/>
      <c r="J2" s="265"/>
      <c r="K2" s="265"/>
      <c r="L2" s="265"/>
    </row>
    <row r="3" spans="2:13" x14ac:dyDescent="0.25">
      <c r="B3" s="272" t="s">
        <v>54</v>
      </c>
      <c r="C3" s="272"/>
      <c r="D3" s="272"/>
      <c r="E3" s="272"/>
      <c r="F3" s="272"/>
      <c r="G3" s="198">
        <f>'Data Sheet'!K16</f>
        <v>45657</v>
      </c>
      <c r="H3" s="213">
        <f>G3+365</f>
        <v>46022</v>
      </c>
      <c r="I3" s="213">
        <f t="shared" ref="I3:L3" si="0">H3+365</f>
        <v>46387</v>
      </c>
      <c r="J3" s="213">
        <f t="shared" si="0"/>
        <v>46752</v>
      </c>
      <c r="K3" s="213">
        <f t="shared" si="0"/>
        <v>47117</v>
      </c>
      <c r="L3" s="213">
        <f t="shared" si="0"/>
        <v>47482</v>
      </c>
    </row>
    <row r="5" spans="2:13" x14ac:dyDescent="0.25">
      <c r="B5" s="103" t="s">
        <v>203</v>
      </c>
      <c r="C5" s="103"/>
      <c r="D5" s="103"/>
      <c r="E5" s="103"/>
      <c r="F5" s="103"/>
      <c r="G5" s="219">
        <f>'Data Sheet'!K33-'Data Sheet'!K26</f>
        <v>3867.5500000000006</v>
      </c>
      <c r="H5" s="220">
        <f>G5*(1+$G$15)</f>
        <v>5414.0719370290099</v>
      </c>
      <c r="I5" s="220">
        <f t="shared" ref="I5:L5" si="1">H5*(1+$G$15)</f>
        <v>7579.0034878217602</v>
      </c>
      <c r="J5" s="220">
        <f t="shared" si="1"/>
        <v>10609.628859112558</v>
      </c>
      <c r="K5" s="220">
        <f t="shared" si="1"/>
        <v>14852.114095076831</v>
      </c>
      <c r="L5" s="220">
        <f t="shared" si="1"/>
        <v>20791.047078307576</v>
      </c>
    </row>
    <row r="6" spans="2:13" x14ac:dyDescent="0.25">
      <c r="B6" s="103" t="s">
        <v>262</v>
      </c>
      <c r="C6" s="103"/>
      <c r="D6" s="103"/>
      <c r="E6" s="103"/>
      <c r="F6" s="103"/>
      <c r="G6" s="199">
        <v>0.25</v>
      </c>
      <c r="H6" s="109">
        <f>G6</f>
        <v>0.25</v>
      </c>
      <c r="I6" s="109">
        <f t="shared" ref="I6:L6" si="2">H6</f>
        <v>0.25</v>
      </c>
      <c r="J6" s="109">
        <f t="shared" si="2"/>
        <v>0.25</v>
      </c>
      <c r="K6" s="109">
        <f t="shared" si="2"/>
        <v>0.25</v>
      </c>
      <c r="L6" s="109">
        <f t="shared" si="2"/>
        <v>0.25</v>
      </c>
    </row>
    <row r="7" spans="2:13" x14ac:dyDescent="0.25">
      <c r="B7" s="103" t="s">
        <v>209</v>
      </c>
      <c r="C7" s="103"/>
      <c r="D7" s="103"/>
      <c r="E7" s="103"/>
      <c r="F7" s="103"/>
      <c r="G7" s="219">
        <f>G5*(1-G6)</f>
        <v>2900.6625000000004</v>
      </c>
      <c r="H7" s="220">
        <f t="shared" ref="H7" si="3">H5*(1-H6)</f>
        <v>4060.5539527717574</v>
      </c>
      <c r="I7" s="220">
        <f t="shared" ref="I7" si="4">I5*(1-I6)</f>
        <v>5684.2526158663204</v>
      </c>
      <c r="J7" s="220">
        <f t="shared" ref="J7" si="5">J5*(1-J6)</f>
        <v>7957.2216443344187</v>
      </c>
      <c r="K7" s="220">
        <f t="shared" ref="K7" si="6">K5*(1-K6)</f>
        <v>11139.085571307623</v>
      </c>
      <c r="L7" s="220">
        <f t="shared" ref="L7" si="7">L5*(1-L6)</f>
        <v>15593.285308730683</v>
      </c>
      <c r="M7" s="95"/>
    </row>
    <row r="8" spans="2:13" x14ac:dyDescent="0.25">
      <c r="B8" s="103" t="s">
        <v>322</v>
      </c>
      <c r="C8" s="103"/>
      <c r="D8" s="103"/>
      <c r="E8" s="103"/>
      <c r="F8" s="103"/>
      <c r="G8" s="199">
        <f>'Intrinsic Growth'!L54</f>
        <v>1.54759808611281</v>
      </c>
      <c r="H8" s="201">
        <f>G8</f>
        <v>1.54759808611281</v>
      </c>
      <c r="I8" s="201">
        <f t="shared" ref="I8:L8" si="8">H8</f>
        <v>1.54759808611281</v>
      </c>
      <c r="J8" s="201">
        <f t="shared" si="8"/>
        <v>1.54759808611281</v>
      </c>
      <c r="K8" s="201">
        <f t="shared" si="8"/>
        <v>1.54759808611281</v>
      </c>
      <c r="L8" s="201">
        <f t="shared" si="8"/>
        <v>1.54759808611281</v>
      </c>
    </row>
    <row r="9" spans="2:13" x14ac:dyDescent="0.25">
      <c r="B9" s="103" t="s">
        <v>323</v>
      </c>
      <c r="C9" s="103"/>
      <c r="D9" s="103"/>
      <c r="E9" s="103"/>
      <c r="F9" s="103"/>
      <c r="G9" s="219">
        <f>G7*(1-G8)</f>
        <v>-1588.397233459199</v>
      </c>
      <c r="H9" s="220">
        <f t="shared" ref="H9:L9" si="9">G9*(1+$G$15)</f>
        <v>-2223.5515730956199</v>
      </c>
      <c r="I9" s="220">
        <f t="shared" si="9"/>
        <v>-3112.6858534301309</v>
      </c>
      <c r="J9" s="220">
        <f t="shared" si="9"/>
        <v>-4357.3593432129546</v>
      </c>
      <c r="K9" s="220">
        <f t="shared" si="9"/>
        <v>-6099.7419398948714</v>
      </c>
      <c r="L9" s="220">
        <f t="shared" si="9"/>
        <v>-8538.8531912719191</v>
      </c>
    </row>
    <row r="10" spans="2:13" x14ac:dyDescent="0.25">
      <c r="B10" s="103" t="s">
        <v>324</v>
      </c>
      <c r="C10" s="103"/>
      <c r="D10" s="103"/>
      <c r="E10" s="103"/>
      <c r="F10" s="103"/>
      <c r="G10" s="200"/>
      <c r="H10" s="202">
        <v>0.5</v>
      </c>
      <c r="I10" s="103">
        <f>H10+1</f>
        <v>1.5</v>
      </c>
      <c r="J10" s="103">
        <f t="shared" ref="J10:L10" si="10">I10+1</f>
        <v>2.5</v>
      </c>
      <c r="K10" s="103">
        <f t="shared" si="10"/>
        <v>3.5</v>
      </c>
      <c r="L10" s="103">
        <f t="shared" si="10"/>
        <v>4.5</v>
      </c>
    </row>
    <row r="11" spans="2:13" x14ac:dyDescent="0.25">
      <c r="B11" s="103" t="s">
        <v>325</v>
      </c>
      <c r="C11" s="103"/>
      <c r="D11" s="103"/>
      <c r="E11" s="103"/>
      <c r="F11" s="103"/>
      <c r="G11" s="200"/>
      <c r="H11" s="222">
        <f>1/(1+$G$17)^H10</f>
        <v>0.93840922808311855</v>
      </c>
      <c r="I11" s="222">
        <f t="shared" ref="I11:L11" si="11">1/(1+$G$17)^I10</f>
        <v>0.82637431394311656</v>
      </c>
      <c r="J11" s="222">
        <f t="shared" si="11"/>
        <v>0.72771503764929935</v>
      </c>
      <c r="K11" s="222">
        <f t="shared" si="11"/>
        <v>0.64083450693673683</v>
      </c>
      <c r="L11" s="222">
        <f t="shared" si="11"/>
        <v>0.56432647950688664</v>
      </c>
    </row>
    <row r="12" spans="2:13" ht="4.5" customHeight="1" x14ac:dyDescent="0.25">
      <c r="G12" s="203"/>
    </row>
    <row r="13" spans="2:13" ht="15.75" thickBot="1" x14ac:dyDescent="0.3">
      <c r="B13" s="107" t="s">
        <v>326</v>
      </c>
      <c r="C13" s="107"/>
      <c r="D13" s="107"/>
      <c r="E13" s="107"/>
      <c r="F13" s="107"/>
      <c r="G13" s="204"/>
      <c r="H13" s="221">
        <f>H9*H11</f>
        <v>-2086.6013153116646</v>
      </c>
      <c r="I13" s="221">
        <f t="shared" ref="I13:L13" si="12">I9*I11</f>
        <v>-2572.2436366487686</v>
      </c>
      <c r="J13" s="221">
        <f t="shared" si="12"/>
        <v>-3170.9159184977416</v>
      </c>
      <c r="K13" s="221">
        <f t="shared" si="12"/>
        <v>-3908.9251184938644</v>
      </c>
      <c r="L13" s="221">
        <f t="shared" si="12"/>
        <v>-4818.7009604566265</v>
      </c>
      <c r="M13" s="95"/>
    </row>
    <row r="15" spans="2:13" outlineLevel="1" x14ac:dyDescent="0.25">
      <c r="B15" s="205" t="s">
        <v>327</v>
      </c>
      <c r="C15" s="205"/>
      <c r="D15" s="205"/>
      <c r="E15" s="205"/>
      <c r="F15" s="205"/>
      <c r="G15" s="206">
        <f>'Intrinsic Growth'!L64</f>
        <v>0.39987122003051245</v>
      </c>
    </row>
    <row r="16" spans="2:13" outlineLevel="1" x14ac:dyDescent="0.25">
      <c r="B16" s="205" t="s">
        <v>328</v>
      </c>
      <c r="C16" s="205"/>
      <c r="D16" s="205"/>
      <c r="E16" s="205"/>
      <c r="F16" s="205"/>
      <c r="G16" s="206">
        <v>0.04</v>
      </c>
    </row>
    <row r="17" spans="2:13" outlineLevel="1" x14ac:dyDescent="0.25">
      <c r="B17" s="205" t="s">
        <v>280</v>
      </c>
      <c r="C17" s="205"/>
      <c r="D17" s="205"/>
      <c r="E17" s="205"/>
      <c r="F17" s="205"/>
      <c r="G17" s="206">
        <f>WACC!K43</f>
        <v>0.13557405191530891</v>
      </c>
    </row>
    <row r="18" spans="2:13" x14ac:dyDescent="0.25">
      <c r="I18" s="197" t="s">
        <v>329</v>
      </c>
      <c r="J18" s="197"/>
      <c r="K18" s="197"/>
      <c r="L18" s="197"/>
      <c r="M18" s="197"/>
    </row>
    <row r="19" spans="2:13" x14ac:dyDescent="0.25">
      <c r="B19" s="197" t="s">
        <v>330</v>
      </c>
      <c r="C19" s="197"/>
      <c r="D19" s="197"/>
      <c r="E19" s="197"/>
      <c r="F19" s="197"/>
      <c r="I19" s="207">
        <f>G37</f>
        <v>-257.34832107734331</v>
      </c>
      <c r="J19" s="208">
        <v>0.1</v>
      </c>
      <c r="K19" s="208">
        <v>0.1356</v>
      </c>
      <c r="L19" s="208">
        <v>0.185</v>
      </c>
      <c r="M19" s="208">
        <v>0.22</v>
      </c>
    </row>
    <row r="20" spans="2:13" x14ac:dyDescent="0.25">
      <c r="B20" s="12" t="s">
        <v>331</v>
      </c>
      <c r="G20" s="100">
        <f>L9*(1+$G$15)</f>
        <v>-11953.294834527256</v>
      </c>
      <c r="I20" s="208">
        <v>0.03</v>
      </c>
      <c r="J20" s="128">
        <f t="dataTable" ref="J20:M24" dt2D="1" dtr="1" r1="G21" r2="G22"/>
        <v>-333.57787557699555</v>
      </c>
      <c r="K20" s="128">
        <v>-237.53836956703245</v>
      </c>
      <c r="L20" s="128">
        <v>-177.35268421319904</v>
      </c>
      <c r="M20" s="128">
        <v>-153.65288738092033</v>
      </c>
    </row>
    <row r="21" spans="2:13" x14ac:dyDescent="0.25">
      <c r="B21" s="12" t="s">
        <v>280</v>
      </c>
      <c r="G21" s="161">
        <f>G17</f>
        <v>0.13557405191530891</v>
      </c>
      <c r="I21" s="208">
        <v>0.04</v>
      </c>
      <c r="J21" s="128">
        <v>-381.05808079540429</v>
      </c>
      <c r="K21" s="128">
        <v>-257.29168811310876</v>
      </c>
      <c r="L21" s="128">
        <v>-186.22551455434774</v>
      </c>
      <c r="M21" s="128">
        <v>-159.48378977616349</v>
      </c>
    </row>
    <row r="22" spans="2:13" x14ac:dyDescent="0.25">
      <c r="B22" s="12" t="s">
        <v>332</v>
      </c>
      <c r="G22" s="161">
        <f>G16</f>
        <v>0.04</v>
      </c>
      <c r="I22" s="208">
        <v>5.3800000000000001E-2</v>
      </c>
      <c r="J22" s="136">
        <v>-480.33487352480449</v>
      </c>
      <c r="K22" s="263">
        <v>-292.48253903098902</v>
      </c>
      <c r="L22" s="128">
        <v>-200.69120365474186</v>
      </c>
      <c r="M22" s="128">
        <v>-168.68272243580705</v>
      </c>
    </row>
    <row r="23" spans="2:13" ht="3.75" customHeight="1" x14ac:dyDescent="0.25">
      <c r="B23" s="12"/>
      <c r="I23" s="208">
        <v>0.06</v>
      </c>
      <c r="J23" s="128">
        <v>-547.23879905983495</v>
      </c>
      <c r="K23" s="128">
        <v>-312.4755621465917</v>
      </c>
      <c r="L23" s="128">
        <v>-208.23013380039649</v>
      </c>
      <c r="M23" s="128">
        <v>-173.33218296486604</v>
      </c>
    </row>
    <row r="24" spans="2:13" ht="15.75" thickBot="1" x14ac:dyDescent="0.3">
      <c r="B24" s="209" t="s">
        <v>333</v>
      </c>
      <c r="C24" s="210"/>
      <c r="D24" s="210"/>
      <c r="E24" s="210"/>
      <c r="F24" s="210"/>
      <c r="G24" s="221">
        <f>G20/(G21-G22)</f>
        <v>-125068.41129974731</v>
      </c>
      <c r="I24" s="208">
        <v>7.0000000000000007E-2</v>
      </c>
      <c r="J24" s="128">
        <v>-713.4195173242656</v>
      </c>
      <c r="K24" s="128">
        <v>-352.68576304294066</v>
      </c>
      <c r="L24" s="128">
        <v>-222.10261115116634</v>
      </c>
      <c r="M24" s="128">
        <v>-181.64121887808759</v>
      </c>
    </row>
    <row r="26" spans="2:13" x14ac:dyDescent="0.25">
      <c r="B26" s="197" t="s">
        <v>334</v>
      </c>
      <c r="C26" s="197"/>
      <c r="D26" s="197"/>
      <c r="E26" s="197"/>
      <c r="F26" s="197"/>
    </row>
    <row r="27" spans="2:13" x14ac:dyDescent="0.25">
      <c r="B27" s="12" t="s">
        <v>335</v>
      </c>
      <c r="G27" s="100">
        <f>SUM(H13:L13)</f>
        <v>-16557.386949408665</v>
      </c>
    </row>
    <row r="28" spans="2:13" x14ac:dyDescent="0.25">
      <c r="B28" s="12" t="s">
        <v>336</v>
      </c>
      <c r="G28" s="100">
        <f>G24*L11</f>
        <v>-70579.416246305715</v>
      </c>
    </row>
    <row r="29" spans="2:13" x14ac:dyDescent="0.25">
      <c r="B29" s="12" t="s">
        <v>332</v>
      </c>
      <c r="G29" s="100">
        <f>G24</f>
        <v>-125068.41129974731</v>
      </c>
    </row>
    <row r="30" spans="2:13" x14ac:dyDescent="0.25">
      <c r="B30" s="140" t="s">
        <v>337</v>
      </c>
      <c r="C30" s="30"/>
      <c r="D30" s="30"/>
      <c r="E30" s="30"/>
      <c r="F30" s="30"/>
      <c r="G30" s="223">
        <f>SUM(G27:G28)</f>
        <v>-87136.803195714383</v>
      </c>
    </row>
    <row r="31" spans="2:13" x14ac:dyDescent="0.25">
      <c r="B31" s="12"/>
      <c r="G31" s="100"/>
    </row>
    <row r="32" spans="2:13" x14ac:dyDescent="0.25">
      <c r="B32" s="12" t="s">
        <v>338</v>
      </c>
      <c r="G32" s="100">
        <f>'Data Sheet'!K69</f>
        <v>2450.0500000000002</v>
      </c>
    </row>
    <row r="33" spans="2:8" x14ac:dyDescent="0.25">
      <c r="B33" s="12" t="s">
        <v>339</v>
      </c>
      <c r="G33" s="100">
        <f>SUM('Raw Data'!N7:N8)</f>
        <v>2365</v>
      </c>
    </row>
    <row r="34" spans="2:8" x14ac:dyDescent="0.25">
      <c r="B34" s="140" t="s">
        <v>337</v>
      </c>
      <c r="C34" s="30"/>
      <c r="D34" s="30"/>
      <c r="E34" s="30"/>
      <c r="F34" s="30"/>
      <c r="G34" s="223">
        <f>G30+G32-G33</f>
        <v>-87051.75319571438</v>
      </c>
    </row>
    <row r="35" spans="2:8" x14ac:dyDescent="0.25">
      <c r="B35" s="12" t="s">
        <v>340</v>
      </c>
      <c r="G35" s="100">
        <f>'Data Sheet'!B6</f>
        <v>338.26431364031282</v>
      </c>
    </row>
    <row r="36" spans="2:8" ht="4.5" customHeight="1" x14ac:dyDescent="0.25">
      <c r="B36" s="12"/>
      <c r="G36" s="159"/>
    </row>
    <row r="37" spans="2:8" ht="15.75" thickBot="1" x14ac:dyDescent="0.3">
      <c r="B37" s="209" t="s">
        <v>341</v>
      </c>
      <c r="C37" s="210"/>
      <c r="D37" s="210"/>
      <c r="E37" s="210"/>
      <c r="F37" s="210"/>
      <c r="G37" s="211">
        <f>G34/G35</f>
        <v>-257.34832107734331</v>
      </c>
    </row>
    <row r="39" spans="2:8" x14ac:dyDescent="0.25">
      <c r="B39" t="s">
        <v>342</v>
      </c>
      <c r="G39">
        <v>452</v>
      </c>
    </row>
    <row r="40" spans="2:8" x14ac:dyDescent="0.25">
      <c r="B40" t="s">
        <v>343</v>
      </c>
      <c r="G40" s="212">
        <f>G39/G37-1</f>
        <v>-2.7563743882523957</v>
      </c>
      <c r="H40" s="224"/>
    </row>
    <row r="41" spans="2:8" x14ac:dyDescent="0.25">
      <c r="G41" s="277">
        <f>G39/G37</f>
        <v>-1.7563743882523959</v>
      </c>
    </row>
  </sheetData>
  <mergeCells count="2">
    <mergeCell ref="B2:L2"/>
    <mergeCell ref="B3:F3"/>
  </mergeCells>
  <pageMargins left="0.7" right="0.7" top="0.75" bottom="0.75" header="0.3" footer="0.3"/>
  <pageSetup orientation="portrait" r:id="rId1"/>
  <ignoredErrors>
    <ignoredError sqref="H6:L6 H7 I7:L7" formula="1"/>
    <ignoredError sqref="G33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showGridLines="0" workbookViewId="0">
      <selection activeCell="Q9" sqref="Q9"/>
    </sheetView>
  </sheetViews>
  <sheetFormatPr defaultRowHeight="15" x14ac:dyDescent="0.25"/>
  <cols>
    <col min="1" max="1" width="1.85546875" customWidth="1"/>
    <col min="12" max="12" width="22.42578125" bestFit="1" customWidth="1"/>
    <col min="15" max="15" width="11.85546875" customWidth="1"/>
    <col min="16" max="16" width="12" customWidth="1"/>
  </cols>
  <sheetData>
    <row r="1" spans="2:17" x14ac:dyDescent="0.25">
      <c r="B1" s="264" t="s">
        <v>403</v>
      </c>
      <c r="C1" s="264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</row>
    <row r="2" spans="2:17" x14ac:dyDescent="0.25">
      <c r="B2" s="264" t="s">
        <v>404</v>
      </c>
      <c r="C2" s="264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</row>
    <row r="3" spans="2:17" x14ac:dyDescent="0.25">
      <c r="B3" s="264" t="s">
        <v>405</v>
      </c>
      <c r="C3" s="264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4" spans="2:17" x14ac:dyDescent="0.25">
      <c r="B4" s="264"/>
      <c r="C4" s="264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</row>
    <row r="7" spans="2:17" x14ac:dyDescent="0.25">
      <c r="L7" s="197" t="s">
        <v>406</v>
      </c>
      <c r="M7" s="74"/>
      <c r="N7" s="74"/>
      <c r="O7" s="74"/>
      <c r="P7" s="74"/>
      <c r="Q7" s="74"/>
    </row>
    <row r="8" spans="2:17" x14ac:dyDescent="0.25">
      <c r="N8" s="73" t="s">
        <v>407</v>
      </c>
      <c r="O8" s="73" t="s">
        <v>363</v>
      </c>
      <c r="P8" s="73" t="s">
        <v>408</v>
      </c>
      <c r="Q8" s="73" t="s">
        <v>360</v>
      </c>
    </row>
    <row r="9" spans="2:17" x14ac:dyDescent="0.25">
      <c r="L9" s="116" t="s">
        <v>409</v>
      </c>
      <c r="N9">
        <v>406.5</v>
      </c>
      <c r="O9">
        <v>406.5</v>
      </c>
      <c r="P9">
        <v>487.1</v>
      </c>
      <c r="Q9">
        <v>487.1</v>
      </c>
    </row>
    <row r="10" spans="2:17" x14ac:dyDescent="0.25">
      <c r="L10" s="116" t="s">
        <v>410</v>
      </c>
      <c r="N10">
        <v>181.7</v>
      </c>
      <c r="O10">
        <v>181.7</v>
      </c>
      <c r="P10">
        <v>284</v>
      </c>
      <c r="Q10">
        <v>284</v>
      </c>
    </row>
    <row r="11" spans="2:17" x14ac:dyDescent="0.25">
      <c r="L11" s="116" t="s">
        <v>411</v>
      </c>
      <c r="N11">
        <v>229.2</v>
      </c>
      <c r="O11">
        <v>229.2</v>
      </c>
      <c r="P11">
        <v>270.39999999999998</v>
      </c>
      <c r="Q11">
        <v>270.39999999999998</v>
      </c>
    </row>
    <row r="12" spans="2:17" x14ac:dyDescent="0.25">
      <c r="L12" s="116" t="s">
        <v>412</v>
      </c>
      <c r="N12">
        <v>263.89999999999998</v>
      </c>
      <c r="O12">
        <v>263.89999999999998</v>
      </c>
      <c r="P12">
        <v>323.89999999999998</v>
      </c>
      <c r="Q12">
        <v>323.89999999999998</v>
      </c>
    </row>
    <row r="13" spans="2:17" x14ac:dyDescent="0.25">
      <c r="L13" s="116" t="s">
        <v>413</v>
      </c>
      <c r="N13">
        <v>126</v>
      </c>
      <c r="O13">
        <v>126</v>
      </c>
      <c r="P13">
        <v>199</v>
      </c>
      <c r="Q13">
        <v>199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showGridLines="0" zoomScale="96" zoomScaleNormal="96" workbookViewId="0">
      <selection activeCell="R9" sqref="R9"/>
    </sheetView>
  </sheetViews>
  <sheetFormatPr defaultRowHeight="15" x14ac:dyDescent="0.25"/>
  <cols>
    <col min="1" max="1" width="1.85546875" customWidth="1"/>
    <col min="2" max="2" width="18.140625" customWidth="1"/>
    <col min="3" max="3" width="20.140625" customWidth="1"/>
    <col min="5" max="5" width="12.42578125" customWidth="1"/>
    <col min="6" max="6" width="10.140625" customWidth="1"/>
    <col min="7" max="7" width="12" customWidth="1"/>
    <col min="8" max="8" width="10" customWidth="1"/>
    <col min="10" max="10" width="2.140625" customWidth="1"/>
    <col min="13" max="13" width="11.28515625" bestFit="1" customWidth="1"/>
    <col min="14" max="14" width="2.140625" customWidth="1"/>
    <col min="15" max="15" width="11" customWidth="1"/>
    <col min="16" max="16" width="12.42578125" bestFit="1" customWidth="1"/>
    <col min="17" max="17" width="11" customWidth="1"/>
  </cols>
  <sheetData>
    <row r="1" spans="2:18" s="12" customFormat="1" x14ac:dyDescent="0.25"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</row>
    <row r="2" spans="2:18" x14ac:dyDescent="0.25">
      <c r="C2" s="227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</row>
    <row r="3" spans="2:18" ht="15.75" x14ac:dyDescent="0.25">
      <c r="B3" s="274" t="str">
        <f>'Data Sheet'!B1&amp;"-"&amp;"Comparable Company Valuation"</f>
        <v>VARUN BEVERAGES LTD-Comparable Company Valuation</v>
      </c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</row>
    <row r="4" spans="2:18" ht="15.75" x14ac:dyDescent="0.25">
      <c r="B4" s="226" t="s">
        <v>344</v>
      </c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12"/>
    </row>
    <row r="5" spans="2:18" ht="4.5" customHeight="1" x14ac:dyDescent="0.25"/>
    <row r="6" spans="2:18" ht="15" customHeight="1" x14ac:dyDescent="0.25">
      <c r="B6" s="197" t="s">
        <v>345</v>
      </c>
      <c r="C6" s="197"/>
      <c r="D6" s="273" t="s">
        <v>346</v>
      </c>
      <c r="E6" s="273"/>
      <c r="F6" s="273"/>
      <c r="G6" s="273"/>
      <c r="H6" s="273"/>
      <c r="I6" s="273"/>
      <c r="J6" s="197"/>
      <c r="K6" s="273" t="s">
        <v>347</v>
      </c>
      <c r="L6" s="273"/>
      <c r="M6" s="273"/>
      <c r="N6" s="228"/>
      <c r="O6" s="229" t="s">
        <v>348</v>
      </c>
      <c r="P6" s="229"/>
      <c r="Q6" s="230"/>
    </row>
    <row r="7" spans="2:18" ht="30" x14ac:dyDescent="0.25">
      <c r="B7" s="231" t="s">
        <v>349</v>
      </c>
      <c r="C7" s="231" t="s">
        <v>350</v>
      </c>
      <c r="D7" s="232" t="s">
        <v>342</v>
      </c>
      <c r="E7" s="232" t="s">
        <v>351</v>
      </c>
      <c r="F7" s="232" t="s">
        <v>352</v>
      </c>
      <c r="G7" s="232" t="s">
        <v>353</v>
      </c>
      <c r="H7" s="232" t="s">
        <v>354</v>
      </c>
      <c r="I7" s="232"/>
      <c r="J7" s="233"/>
      <c r="K7" s="233" t="s">
        <v>355</v>
      </c>
      <c r="L7" s="233" t="s">
        <v>65</v>
      </c>
      <c r="M7" s="233" t="s">
        <v>356</v>
      </c>
      <c r="N7" s="233"/>
      <c r="O7" s="233" t="s">
        <v>357</v>
      </c>
      <c r="P7" s="233" t="s">
        <v>358</v>
      </c>
      <c r="Q7" s="233" t="s">
        <v>359</v>
      </c>
    </row>
    <row r="8" spans="2:18" ht="4.5" customHeight="1" x14ac:dyDescent="0.25"/>
    <row r="9" spans="2:18" ht="15" customHeight="1" x14ac:dyDescent="0.25">
      <c r="B9" s="234" t="s">
        <v>311</v>
      </c>
      <c r="C9" s="234" t="s">
        <v>414</v>
      </c>
      <c r="D9" s="235">
        <f>'Data Comps'!D3</f>
        <v>452.25</v>
      </c>
      <c r="E9" s="236">
        <f>'Data Comps'!E3</f>
        <v>338.19</v>
      </c>
      <c r="F9" s="235">
        <f>D9*E9</f>
        <v>152946.42749999999</v>
      </c>
      <c r="G9" s="235">
        <f>'Data Comps'!I3</f>
        <v>376.19999999999982</v>
      </c>
      <c r="H9" s="235">
        <f>F9+G9</f>
        <v>153322.6275</v>
      </c>
      <c r="I9" s="235"/>
      <c r="J9" s="235"/>
      <c r="K9" s="235">
        <f>'Data Comps'!L3</f>
        <v>21257.27</v>
      </c>
      <c r="L9" s="235">
        <f>'Data Comps'!O3</f>
        <v>5125.3600000000006</v>
      </c>
      <c r="M9" s="235">
        <f>'Data Comps'!Q3</f>
        <v>2817.66</v>
      </c>
      <c r="N9" s="237"/>
      <c r="O9" s="238">
        <f>$H9/$K9</f>
        <v>7.2127148735467914</v>
      </c>
      <c r="P9" s="238">
        <f>$H9/$L9</f>
        <v>29.914508932055501</v>
      </c>
      <c r="Q9" s="238">
        <f>F9/M9</f>
        <v>54.281363791231023</v>
      </c>
    </row>
    <row r="10" spans="2:18" x14ac:dyDescent="0.25">
      <c r="B10" s="239" t="s">
        <v>375</v>
      </c>
      <c r="C10" s="239" t="s">
        <v>416</v>
      </c>
      <c r="D10" s="240">
        <f>'Data Comps'!D4</f>
        <v>1357.6</v>
      </c>
      <c r="E10" s="241">
        <f>'Data Comps'!E4</f>
        <v>72.739999999999995</v>
      </c>
      <c r="F10" s="240">
        <f>D10*E10</f>
        <v>98751.823999999993</v>
      </c>
      <c r="G10" s="240">
        <f>'Data Comps'!I4</f>
        <v>-1550</v>
      </c>
      <c r="H10" s="240">
        <f>F10+G10</f>
        <v>97201.823999999993</v>
      </c>
      <c r="I10" s="240"/>
      <c r="J10" s="240"/>
      <c r="K10" s="240">
        <f>'Data Comps'!L4</f>
        <v>12069</v>
      </c>
      <c r="L10" s="240">
        <f>'Data Comps'!O4</f>
        <v>2572</v>
      </c>
      <c r="M10" s="240">
        <f>'Data Comps'!Q4</f>
        <v>1582</v>
      </c>
      <c r="N10" s="242"/>
      <c r="O10" s="243">
        <f t="shared" ref="O10:O18" si="0">$H10/$K10</f>
        <v>8.0538424061645539</v>
      </c>
      <c r="P10" s="243">
        <f t="shared" ref="P10:P18" si="1">$H10/$L10</f>
        <v>37.792311041990665</v>
      </c>
      <c r="Q10" s="243">
        <f t="shared" ref="Q10:Q15" si="2">F10/M10</f>
        <v>62.422139064475346</v>
      </c>
    </row>
    <row r="11" spans="2:18" x14ac:dyDescent="0.25">
      <c r="B11" s="239" t="s">
        <v>376</v>
      </c>
      <c r="C11" s="239" t="s">
        <v>417</v>
      </c>
      <c r="D11" s="240">
        <f>'Data Comps'!D5</f>
        <v>1960.1</v>
      </c>
      <c r="E11" s="241">
        <f>'Data Comps'!E5</f>
        <v>26.44</v>
      </c>
      <c r="F11" s="240">
        <f t="shared" ref="F11:F18" si="3">D11*E11</f>
        <v>51825.044000000002</v>
      </c>
      <c r="G11" s="240">
        <f>'Data Comps'!I5</f>
        <v>177.10000000000002</v>
      </c>
      <c r="H11" s="240">
        <f t="shared" ref="H11:H18" si="4">F11+G11</f>
        <v>52002.144</v>
      </c>
      <c r="I11" s="240"/>
      <c r="J11" s="240"/>
      <c r="K11" s="240">
        <f>'Data Comps'!L5</f>
        <v>8915.09</v>
      </c>
      <c r="L11" s="240">
        <f>'Data Comps'!O5</f>
        <v>876.71</v>
      </c>
      <c r="M11" s="240">
        <f>'Data Comps'!Q5</f>
        <v>442.41</v>
      </c>
      <c r="N11" s="242"/>
      <c r="O11" s="243">
        <f t="shared" si="0"/>
        <v>5.8330475631765912</v>
      </c>
      <c r="P11" s="243">
        <f t="shared" si="1"/>
        <v>59.31510305574249</v>
      </c>
      <c r="Q11" s="243">
        <f t="shared" si="2"/>
        <v>117.14256911010149</v>
      </c>
    </row>
    <row r="12" spans="2:18" x14ac:dyDescent="0.25">
      <c r="B12" s="258" t="s">
        <v>377</v>
      </c>
      <c r="C12" s="258" t="s">
        <v>418</v>
      </c>
      <c r="D12" s="259">
        <f>'Data Comps'!D6</f>
        <v>2718.3</v>
      </c>
      <c r="E12" s="260">
        <f>'Data Comps'!E6</f>
        <v>13.39</v>
      </c>
      <c r="F12" s="259">
        <f t="shared" si="3"/>
        <v>36398.037000000004</v>
      </c>
      <c r="G12" s="259">
        <f>'Data Comps'!I6</f>
        <v>693.28</v>
      </c>
      <c r="H12" s="259">
        <f t="shared" si="4"/>
        <v>37091.317000000003</v>
      </c>
      <c r="I12" s="259"/>
      <c r="J12" s="259"/>
      <c r="K12" s="259">
        <f>'Data Comps'!L6</f>
        <v>4851.1499999999996</v>
      </c>
      <c r="L12" s="259">
        <f>'Data Comps'!O6</f>
        <v>678.56</v>
      </c>
      <c r="M12" s="259">
        <f>'Data Comps'!Q6</f>
        <v>345.19</v>
      </c>
      <c r="N12" s="261"/>
      <c r="O12" s="262">
        <f t="shared" si="0"/>
        <v>7.6458812858806686</v>
      </c>
      <c r="P12" s="262">
        <f t="shared" si="1"/>
        <v>54.661808830464523</v>
      </c>
      <c r="Q12" s="262">
        <f t="shared" si="2"/>
        <v>105.44348619600801</v>
      </c>
    </row>
    <row r="13" spans="2:18" x14ac:dyDescent="0.25">
      <c r="B13" s="239" t="s">
        <v>378</v>
      </c>
      <c r="C13" s="239" t="s">
        <v>419</v>
      </c>
      <c r="D13" s="240">
        <f>'Data Comps'!D7</f>
        <v>447.25</v>
      </c>
      <c r="E13" s="241">
        <f>'Data Comps'!E7</f>
        <v>27.97</v>
      </c>
      <c r="F13" s="240">
        <f t="shared" si="3"/>
        <v>12509.582499999999</v>
      </c>
      <c r="G13" s="240">
        <f>'Data Comps'!I7</f>
        <v>773.5</v>
      </c>
      <c r="H13" s="240">
        <f t="shared" si="4"/>
        <v>13283.082499999999</v>
      </c>
      <c r="I13" s="240"/>
      <c r="J13" s="240"/>
      <c r="K13" s="240">
        <f>'Data Comps'!L7</f>
        <v>3519.88</v>
      </c>
      <c r="L13" s="240">
        <f>'Data Comps'!O7</f>
        <v>451.61</v>
      </c>
      <c r="M13" s="240">
        <f>'Data Comps'!Q7</f>
        <v>194.84</v>
      </c>
      <c r="N13" s="242"/>
      <c r="O13" s="243">
        <f t="shared" si="0"/>
        <v>3.7737316328965753</v>
      </c>
      <c r="P13" s="243">
        <f t="shared" si="1"/>
        <v>29.412728903257232</v>
      </c>
      <c r="Q13" s="243">
        <f t="shared" si="2"/>
        <v>64.204385649763907</v>
      </c>
    </row>
    <row r="14" spans="2:18" x14ac:dyDescent="0.25">
      <c r="B14" s="239" t="s">
        <v>379</v>
      </c>
      <c r="C14" s="239" t="s">
        <v>420</v>
      </c>
      <c r="D14" s="240">
        <f>'Data Comps'!D8</f>
        <v>338.3</v>
      </c>
      <c r="E14" s="241">
        <f>'Data Comps'!E8</f>
        <v>19.38</v>
      </c>
      <c r="F14" s="240">
        <f t="shared" si="3"/>
        <v>6556.2539999999999</v>
      </c>
      <c r="G14" s="240">
        <f>'Data Comps'!I8</f>
        <v>-58.65</v>
      </c>
      <c r="H14" s="240">
        <f t="shared" si="4"/>
        <v>6497.6040000000003</v>
      </c>
      <c r="I14" s="240"/>
      <c r="J14" s="240"/>
      <c r="K14" s="240">
        <f>'Data Comps'!L8</f>
        <v>1434.15</v>
      </c>
      <c r="L14" s="240">
        <f>'Data Comps'!O8</f>
        <v>272.45</v>
      </c>
      <c r="M14" s="240">
        <f>'Data Comps'!Q8</f>
        <v>229.59</v>
      </c>
      <c r="N14" s="242"/>
      <c r="O14" s="243">
        <f t="shared" si="0"/>
        <v>4.5306306871666147</v>
      </c>
      <c r="P14" s="243">
        <f t="shared" si="1"/>
        <v>23.848794274178751</v>
      </c>
      <c r="Q14" s="243">
        <f t="shared" si="2"/>
        <v>28.556356984189208</v>
      </c>
    </row>
    <row r="15" spans="2:18" x14ac:dyDescent="0.25">
      <c r="B15" s="239" t="s">
        <v>380</v>
      </c>
      <c r="C15" s="239" t="s">
        <v>421</v>
      </c>
      <c r="D15" s="240">
        <f>'Data Comps'!D9</f>
        <v>2053.1999999999998</v>
      </c>
      <c r="E15" s="241">
        <f>'Data Comps'!E9</f>
        <v>3.1</v>
      </c>
      <c r="F15" s="240">
        <f t="shared" si="3"/>
        <v>6364.92</v>
      </c>
      <c r="G15" s="240">
        <f>'Data Comps'!I9</f>
        <v>1814.09</v>
      </c>
      <c r="H15" s="240">
        <f t="shared" si="4"/>
        <v>8179.01</v>
      </c>
      <c r="I15" s="240"/>
      <c r="J15" s="240"/>
      <c r="K15" s="240">
        <f>'Data Comps'!L9</f>
        <v>3768.26</v>
      </c>
      <c r="L15" s="240">
        <f>'Data Comps'!O9</f>
        <v>571.89</v>
      </c>
      <c r="M15" s="240">
        <f>'Data Comps'!Q9</f>
        <v>230.92</v>
      </c>
      <c r="N15" s="242"/>
      <c r="O15" s="243">
        <f t="shared" si="0"/>
        <v>2.1705004431753645</v>
      </c>
      <c r="P15" s="243">
        <f t="shared" si="1"/>
        <v>14.301718862018921</v>
      </c>
      <c r="Q15" s="243">
        <f t="shared" si="2"/>
        <v>27.563311969513254</v>
      </c>
    </row>
    <row r="16" spans="2:18" x14ac:dyDescent="0.25">
      <c r="B16" s="239" t="s">
        <v>381</v>
      </c>
      <c r="C16" s="239" t="s">
        <v>422</v>
      </c>
      <c r="D16" s="240">
        <f>'Data Comps'!D10</f>
        <v>587.15</v>
      </c>
      <c r="E16" s="241">
        <f>'Data Comps'!E10</f>
        <v>9.5</v>
      </c>
      <c r="F16" s="240">
        <f t="shared" si="3"/>
        <v>5577.9250000000002</v>
      </c>
      <c r="G16" s="240">
        <f>'Data Comps'!I10</f>
        <v>260.61</v>
      </c>
      <c r="H16" s="240">
        <f t="shared" si="4"/>
        <v>5838.5349999999999</v>
      </c>
      <c r="I16" s="240"/>
      <c r="J16" s="240"/>
      <c r="K16" s="240">
        <f>'Data Comps'!L10</f>
        <v>818.12</v>
      </c>
      <c r="L16" s="240">
        <f>'Data Comps'!O10</f>
        <v>189.52</v>
      </c>
      <c r="M16" s="240">
        <f>'Data Comps'!Q10</f>
        <v>102.34</v>
      </c>
      <c r="N16" s="242"/>
      <c r="O16" s="243">
        <f t="shared" si="0"/>
        <v>7.136526426441109</v>
      </c>
      <c r="P16" s="243">
        <f t="shared" si="1"/>
        <v>30.80695968763191</v>
      </c>
      <c r="Q16" s="243">
        <f t="shared" ref="Q16:Q18" si="5">F16/M16</f>
        <v>54.503859683408244</v>
      </c>
    </row>
    <row r="17" spans="2:17" x14ac:dyDescent="0.25">
      <c r="B17" s="239" t="s">
        <v>382</v>
      </c>
      <c r="C17" s="239" t="s">
        <v>423</v>
      </c>
      <c r="D17" s="240">
        <f>'Data Comps'!D11</f>
        <v>1008</v>
      </c>
      <c r="E17" s="241">
        <f>'Data Comps'!E11</f>
        <v>2.9</v>
      </c>
      <c r="F17" s="240">
        <f t="shared" si="3"/>
        <v>2923.2</v>
      </c>
      <c r="G17" s="240">
        <f>'Data Comps'!I11</f>
        <v>456.42999999999995</v>
      </c>
      <c r="H17" s="240">
        <f t="shared" si="4"/>
        <v>3379.6299999999997</v>
      </c>
      <c r="I17" s="240"/>
      <c r="J17" s="240"/>
      <c r="K17" s="240">
        <f>'Data Comps'!L11</f>
        <v>2537.13</v>
      </c>
      <c r="L17" s="240">
        <f>'Data Comps'!O11</f>
        <v>160.85</v>
      </c>
      <c r="M17" s="240">
        <f>'Data Comps'!Q11</f>
        <v>21.92</v>
      </c>
      <c r="N17" s="242"/>
      <c r="O17" s="243">
        <f t="shared" si="0"/>
        <v>1.3320681242190977</v>
      </c>
      <c r="P17" s="243">
        <f t="shared" si="1"/>
        <v>21.011066210755359</v>
      </c>
      <c r="Q17" s="243">
        <f t="shared" si="5"/>
        <v>133.35766423357663</v>
      </c>
    </row>
    <row r="18" spans="2:17" x14ac:dyDescent="0.25">
      <c r="B18" s="239" t="s">
        <v>383</v>
      </c>
      <c r="C18" s="239" t="s">
        <v>415</v>
      </c>
      <c r="D18" s="240">
        <f>'Data Comps'!D12</f>
        <v>149.06</v>
      </c>
      <c r="E18" s="241">
        <f>'Data Comps'!E12</f>
        <v>19.53</v>
      </c>
      <c r="F18" s="240">
        <f t="shared" si="3"/>
        <v>2911.1418000000003</v>
      </c>
      <c r="G18" s="240">
        <f>'Data Comps'!I12</f>
        <v>150.92999999999998</v>
      </c>
      <c r="H18" s="240">
        <f t="shared" si="4"/>
        <v>3062.0718000000002</v>
      </c>
      <c r="I18" s="240"/>
      <c r="J18" s="240"/>
      <c r="K18" s="240">
        <f>'Data Comps'!L12</f>
        <v>1442.9</v>
      </c>
      <c r="L18" s="240">
        <f>'Data Comps'!O12</f>
        <v>180.71</v>
      </c>
      <c r="M18" s="240">
        <f>'Data Comps'!Q12</f>
        <v>104.5</v>
      </c>
      <c r="N18" s="242"/>
      <c r="O18" s="243">
        <f t="shared" si="0"/>
        <v>2.1221649455956753</v>
      </c>
      <c r="P18" s="243">
        <f t="shared" si="1"/>
        <v>16.944672679984507</v>
      </c>
      <c r="Q18" s="243">
        <f t="shared" si="5"/>
        <v>27.857816267942585</v>
      </c>
    </row>
    <row r="19" spans="2:17" ht="8.25" customHeight="1" x14ac:dyDescent="0.25"/>
    <row r="20" spans="2:17" x14ac:dyDescent="0.25">
      <c r="B20" s="244" t="s">
        <v>360</v>
      </c>
      <c r="C20" s="244"/>
      <c r="D20" s="244"/>
      <c r="E20" s="244"/>
      <c r="F20" s="244"/>
      <c r="G20" s="244"/>
      <c r="H20" s="244"/>
      <c r="I20" s="244"/>
      <c r="J20" s="244"/>
      <c r="K20" s="244"/>
      <c r="L20" s="244"/>
      <c r="M20" s="244"/>
      <c r="N20" s="244"/>
      <c r="O20" s="245">
        <f>MAX(O9:O18)</f>
        <v>8.0538424061645539</v>
      </c>
      <c r="P20" s="245">
        <f t="shared" ref="P20:Q20" si="6">MAX(P9:P18)</f>
        <v>59.31510305574249</v>
      </c>
      <c r="Q20" s="245">
        <f t="shared" si="6"/>
        <v>133.35766423357663</v>
      </c>
    </row>
    <row r="21" spans="2:17" x14ac:dyDescent="0.25">
      <c r="B21" s="244" t="s">
        <v>361</v>
      </c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5">
        <f>QUARTILE(O9:O18,3)</f>
        <v>7.1936677617703708</v>
      </c>
      <c r="P21" s="245">
        <f t="shared" ref="P21:Q21" si="7">QUARTILE(P9:P18,3)</f>
        <v>36.045973203400976</v>
      </c>
      <c r="Q21" s="245">
        <f t="shared" si="7"/>
        <v>95.133711059446981</v>
      </c>
    </row>
    <row r="22" spans="2:17" x14ac:dyDescent="0.25">
      <c r="B22" s="246" t="s">
        <v>257</v>
      </c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7">
        <f>AVERAGE(O9:O18)</f>
        <v>4.9811108388263046</v>
      </c>
      <c r="P22" s="247">
        <f t="shared" ref="P22:Q22" si="8">AVERAGE(P9:P18)</f>
        <v>31.800967247807989</v>
      </c>
      <c r="Q22" s="247">
        <f t="shared" si="8"/>
        <v>67.533295295020977</v>
      </c>
    </row>
    <row r="23" spans="2:17" x14ac:dyDescent="0.25">
      <c r="B23" s="246" t="s">
        <v>162</v>
      </c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7">
        <f>QUARTILE(O9:O16,2)</f>
        <v>6.4847869948088501</v>
      </c>
      <c r="P23" s="247">
        <f t="shared" ref="P23:Q23" si="9">QUARTILE(P9:P16,2)</f>
        <v>30.360734309843707</v>
      </c>
      <c r="Q23" s="247">
        <f t="shared" si="9"/>
        <v>58.462999373941798</v>
      </c>
    </row>
    <row r="24" spans="2:17" x14ac:dyDescent="0.25">
      <c r="B24" s="244" t="s">
        <v>362</v>
      </c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5">
        <f>QUARTILE(O9:O18,1)</f>
        <v>2.5713082406056671</v>
      </c>
      <c r="P24" s="245">
        <f t="shared" ref="P24:Q24" si="10">QUARTILE(P9:P18,1)</f>
        <v>21.720498226611205</v>
      </c>
      <c r="Q24" s="245">
        <f t="shared" si="10"/>
        <v>34.98760868594966</v>
      </c>
    </row>
    <row r="25" spans="2:17" x14ac:dyDescent="0.25">
      <c r="B25" s="244" t="s">
        <v>363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5">
        <f>MIN(O9:O18)</f>
        <v>1.3320681242190977</v>
      </c>
      <c r="P25" s="245">
        <f t="shared" ref="P25:Q25" si="11">MIN(P9:P18)</f>
        <v>14.301718862018921</v>
      </c>
      <c r="Q25" s="245">
        <f t="shared" si="11"/>
        <v>27.563311969513254</v>
      </c>
    </row>
    <row r="27" spans="2:17" x14ac:dyDescent="0.25">
      <c r="B27" s="89" t="s">
        <v>401</v>
      </c>
      <c r="C27" s="89"/>
      <c r="D27" s="89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233" t="s">
        <v>357</v>
      </c>
      <c r="P27" s="233" t="s">
        <v>358</v>
      </c>
      <c r="Q27" s="233" t="s">
        <v>359</v>
      </c>
    </row>
    <row r="28" spans="2:17" ht="4.5" customHeight="1" x14ac:dyDescent="0.25"/>
    <row r="29" spans="2:17" x14ac:dyDescent="0.25">
      <c r="B29" s="248" t="s">
        <v>364</v>
      </c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9">
        <f>O$23*K9</f>
        <v>137848.86804114032</v>
      </c>
      <c r="P29" s="249">
        <f>P$23*L9</f>
        <v>155609.69320230055</v>
      </c>
      <c r="Q29" s="249">
        <f>Q30+Q31</f>
        <v>165105.05481598084</v>
      </c>
    </row>
    <row r="30" spans="2:17" x14ac:dyDescent="0.25">
      <c r="B30" s="248" t="s">
        <v>353</v>
      </c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9">
        <f>$G$9</f>
        <v>376.19999999999982</v>
      </c>
      <c r="P30" s="249">
        <f t="shared" ref="P30:Q30" si="12">$G$9</f>
        <v>376.19999999999982</v>
      </c>
      <c r="Q30" s="249">
        <f t="shared" si="12"/>
        <v>376.19999999999982</v>
      </c>
    </row>
    <row r="31" spans="2:17" x14ac:dyDescent="0.25">
      <c r="B31" s="248" t="s">
        <v>365</v>
      </c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9">
        <f>O29-O30</f>
        <v>137472.66804114031</v>
      </c>
      <c r="P31" s="249">
        <f t="shared" ref="P31" si="13">P29-P30</f>
        <v>155233.49320230054</v>
      </c>
      <c r="Q31" s="249">
        <f>Q23*M9</f>
        <v>164728.85481598083</v>
      </c>
    </row>
    <row r="32" spans="2:17" x14ac:dyDescent="0.25">
      <c r="B32" s="248" t="s">
        <v>366</v>
      </c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50">
        <f>$E$9</f>
        <v>338.19</v>
      </c>
      <c r="P32" s="250">
        <f t="shared" ref="P32:Q32" si="14">$E$9</f>
        <v>338.19</v>
      </c>
      <c r="Q32" s="250">
        <f t="shared" si="14"/>
        <v>338.19</v>
      </c>
    </row>
    <row r="33" spans="2:17" ht="4.5" customHeight="1" x14ac:dyDescent="0.25"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50"/>
      <c r="P33" s="250"/>
      <c r="Q33" s="250"/>
    </row>
    <row r="34" spans="2:17" ht="15.75" thickBot="1" x14ac:dyDescent="0.3">
      <c r="B34" s="251" t="s">
        <v>367</v>
      </c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2">
        <f>O31/O32</f>
        <v>406.49536663159853</v>
      </c>
      <c r="P34" s="252">
        <f t="shared" ref="P34:Q34" si="15">P31/P32</f>
        <v>459.01266507673358</v>
      </c>
      <c r="Q34" s="252">
        <f t="shared" si="15"/>
        <v>487.08966798539529</v>
      </c>
    </row>
    <row r="35" spans="2:17" s="12" customFormat="1" ht="4.5" customHeight="1" x14ac:dyDescent="0.25"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4"/>
      <c r="P35" s="254"/>
      <c r="Q35" s="254"/>
    </row>
    <row r="36" spans="2:17" x14ac:dyDescent="0.25">
      <c r="B36" s="255" t="s">
        <v>402</v>
      </c>
      <c r="C36" s="141"/>
      <c r="D36" s="141"/>
      <c r="E36" s="141"/>
    </row>
    <row r="37" spans="2:17" x14ac:dyDescent="0.25">
      <c r="O37" t="str">
        <f>IF(O34&gt;D9,"Undervalued","overvalued")</f>
        <v>overvalued</v>
      </c>
      <c r="P37" t="str">
        <f>IF(P34&gt;E9,"Undervalued","overvalued")</f>
        <v>Undervalued</v>
      </c>
      <c r="Q37" t="str">
        <f>IF(Q34&gt;F9,"Undervalued","overvalued")</f>
        <v>overvalued</v>
      </c>
    </row>
  </sheetData>
  <mergeCells count="3">
    <mergeCell ref="D6:I6"/>
    <mergeCell ref="K6:M6"/>
    <mergeCell ref="B3:Q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94"/>
  <sheetViews>
    <sheetView showGridLines="0" zoomScale="120" zoomScaleNormal="120" zoomScalePageLayoutView="120" workbookViewId="0">
      <pane xSplit="1" ySplit="1" topLeftCell="B14" activePane="bottomRight" state="frozen"/>
      <selection activeCell="C4" sqref="C4"/>
      <selection pane="topRight" activeCell="C4" sqref="C4"/>
      <selection pane="bottomLeft" activeCell="C4" sqref="C4"/>
      <selection pane="bottomRight" activeCell="K27" sqref="K27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0</v>
      </c>
      <c r="B1" s="1" t="s">
        <v>1</v>
      </c>
      <c r="E1" s="275" t="str">
        <f>IF(B2&lt;&gt;B3, "A NEW VERSION OF THE WORKSHEET IS AVAILABLE", "")</f>
        <v/>
      </c>
      <c r="F1" s="275"/>
      <c r="G1" s="275"/>
      <c r="H1" s="275"/>
      <c r="I1" s="275"/>
      <c r="J1" s="275"/>
      <c r="K1" s="275"/>
    </row>
    <row r="2" spans="1:11" x14ac:dyDescent="0.25">
      <c r="A2" s="1" t="s">
        <v>2</v>
      </c>
      <c r="B2" s="2">
        <v>2.1</v>
      </c>
      <c r="E2" s="276" t="s">
        <v>3</v>
      </c>
      <c r="F2" s="276"/>
      <c r="G2" s="276"/>
      <c r="H2" s="276"/>
      <c r="I2" s="276"/>
      <c r="J2" s="276"/>
      <c r="K2" s="276"/>
    </row>
    <row r="3" spans="1:11" x14ac:dyDescent="0.25">
      <c r="A3" s="1" t="s">
        <v>4</v>
      </c>
      <c r="B3" s="2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2" t="s">
        <v>6</v>
      </c>
      <c r="B6" s="2">
        <f>IF(B9&gt;0, B9/B8, 0)</f>
        <v>338.26431364031282</v>
      </c>
    </row>
    <row r="7" spans="1:11" x14ac:dyDescent="0.25">
      <c r="A7" s="2" t="s">
        <v>7</v>
      </c>
      <c r="B7">
        <v>2</v>
      </c>
    </row>
    <row r="8" spans="1:11" x14ac:dyDescent="0.25">
      <c r="A8" s="2" t="s">
        <v>8</v>
      </c>
      <c r="B8">
        <v>460.4</v>
      </c>
    </row>
    <row r="9" spans="1:11" x14ac:dyDescent="0.25">
      <c r="A9" s="2" t="s">
        <v>9</v>
      </c>
      <c r="B9">
        <v>155736.89000000001</v>
      </c>
    </row>
    <row r="15" spans="1:11" x14ac:dyDescent="0.25">
      <c r="A15" s="1" t="s">
        <v>10</v>
      </c>
    </row>
    <row r="16" spans="1:11" s="5" customFormat="1" x14ac:dyDescent="0.25">
      <c r="A16" s="3" t="s">
        <v>11</v>
      </c>
      <c r="B16" s="4">
        <v>42369</v>
      </c>
      <c r="C16" s="4">
        <v>42735</v>
      </c>
      <c r="D16" s="4">
        <v>43100</v>
      </c>
      <c r="E16" s="4">
        <v>43465</v>
      </c>
      <c r="F16" s="4">
        <v>43830</v>
      </c>
      <c r="G16" s="4">
        <v>44196</v>
      </c>
      <c r="H16" s="4">
        <v>44561</v>
      </c>
      <c r="I16" s="4">
        <v>44926</v>
      </c>
      <c r="J16" s="4">
        <v>45291</v>
      </c>
      <c r="K16" s="4">
        <v>45657</v>
      </c>
    </row>
    <row r="17" spans="1:11" s="6" customFormat="1" x14ac:dyDescent="0.25">
      <c r="A17" s="6" t="s">
        <v>12</v>
      </c>
      <c r="B17">
        <v>3394.14</v>
      </c>
      <c r="C17">
        <v>3861.18</v>
      </c>
      <c r="D17">
        <v>4003.54</v>
      </c>
      <c r="E17">
        <v>5105.26</v>
      </c>
      <c r="F17">
        <v>7129.58</v>
      </c>
      <c r="G17">
        <v>6450.14</v>
      </c>
      <c r="H17">
        <v>8823.23</v>
      </c>
      <c r="I17">
        <v>13173.14</v>
      </c>
      <c r="J17">
        <v>16042.58</v>
      </c>
      <c r="K17">
        <v>20007.650000000001</v>
      </c>
    </row>
    <row r="18" spans="1:11" s="6" customFormat="1" x14ac:dyDescent="0.25">
      <c r="A18" s="2" t="s">
        <v>13</v>
      </c>
      <c r="B18">
        <v>1745.46</v>
      </c>
      <c r="C18">
        <v>1769.74</v>
      </c>
      <c r="D18">
        <v>1883.28</v>
      </c>
      <c r="E18">
        <v>2306.5</v>
      </c>
      <c r="F18">
        <v>3363.29</v>
      </c>
      <c r="G18">
        <v>2781.1</v>
      </c>
      <c r="H18">
        <v>4134.38</v>
      </c>
      <c r="I18">
        <v>6605.66</v>
      </c>
      <c r="J18">
        <v>7489.16</v>
      </c>
      <c r="K18">
        <v>8979.66</v>
      </c>
    </row>
    <row r="19" spans="1:11" s="6" customFormat="1" x14ac:dyDescent="0.25">
      <c r="A19" s="2" t="s">
        <v>14</v>
      </c>
      <c r="B19">
        <v>28.99</v>
      </c>
      <c r="C19">
        <v>31.86</v>
      </c>
      <c r="D19">
        <v>73.22</v>
      </c>
      <c r="E19">
        <v>62.4</v>
      </c>
      <c r="F19">
        <v>143.86000000000001</v>
      </c>
      <c r="G19">
        <v>17.16</v>
      </c>
      <c r="H19">
        <v>99.72</v>
      </c>
      <c r="I19">
        <v>344.51</v>
      </c>
      <c r="J19">
        <v>84.27</v>
      </c>
      <c r="K19">
        <v>74.94</v>
      </c>
    </row>
    <row r="20" spans="1:11" s="6" customFormat="1" x14ac:dyDescent="0.25">
      <c r="A20" s="2" t="s">
        <v>15</v>
      </c>
      <c r="B20">
        <v>131.15</v>
      </c>
      <c r="C20">
        <v>156.22</v>
      </c>
      <c r="D20">
        <v>160.04</v>
      </c>
      <c r="E20">
        <v>194.8</v>
      </c>
      <c r="F20">
        <v>279.06</v>
      </c>
      <c r="G20">
        <v>267</v>
      </c>
      <c r="H20">
        <v>329.93</v>
      </c>
      <c r="I20">
        <v>479.22</v>
      </c>
      <c r="J20">
        <v>550.29</v>
      </c>
      <c r="K20">
        <v>629.51</v>
      </c>
    </row>
    <row r="21" spans="1:11" s="6" customFormat="1" x14ac:dyDescent="0.25">
      <c r="A21" s="2" t="s">
        <v>16</v>
      </c>
      <c r="B21">
        <v>131.77000000000001</v>
      </c>
      <c r="C21">
        <v>154.66</v>
      </c>
      <c r="D21">
        <v>154.49</v>
      </c>
      <c r="E21">
        <v>191.58</v>
      </c>
      <c r="F21">
        <v>245.4</v>
      </c>
      <c r="G21">
        <v>264.33</v>
      </c>
      <c r="H21">
        <v>328.35</v>
      </c>
      <c r="I21">
        <v>472.05</v>
      </c>
      <c r="J21">
        <v>537.15</v>
      </c>
      <c r="K21">
        <v>680.53</v>
      </c>
    </row>
    <row r="22" spans="1:11" s="6" customFormat="1" x14ac:dyDescent="0.25">
      <c r="A22" s="2" t="s">
        <v>17</v>
      </c>
      <c r="B22">
        <v>323.89999999999998</v>
      </c>
      <c r="C22">
        <v>421.45</v>
      </c>
      <c r="D22">
        <v>463.18</v>
      </c>
      <c r="E22">
        <v>583.27</v>
      </c>
      <c r="F22">
        <v>811.58</v>
      </c>
      <c r="G22">
        <v>890.1</v>
      </c>
      <c r="H22">
        <v>1015.43</v>
      </c>
      <c r="I22">
        <v>1235.2</v>
      </c>
      <c r="J22">
        <v>1447.18</v>
      </c>
      <c r="K22">
        <v>1885.88</v>
      </c>
    </row>
    <row r="23" spans="1:11" s="6" customFormat="1" x14ac:dyDescent="0.25">
      <c r="A23" s="2" t="s">
        <v>18</v>
      </c>
      <c r="B23">
        <v>425.55</v>
      </c>
      <c r="C23">
        <v>542.99</v>
      </c>
      <c r="D23">
        <v>525.91999999999996</v>
      </c>
      <c r="E23">
        <v>1692.78</v>
      </c>
      <c r="F23">
        <v>2369.9899999999998</v>
      </c>
      <c r="G23">
        <v>2091.63</v>
      </c>
      <c r="H23">
        <v>1358.89</v>
      </c>
      <c r="I23">
        <v>1777.38</v>
      </c>
      <c r="J23">
        <v>2253.8200000000002</v>
      </c>
      <c r="K23">
        <v>2920.33</v>
      </c>
    </row>
    <row r="24" spans="1:11" s="6" customFormat="1" x14ac:dyDescent="0.25">
      <c r="A24" s="2" t="s">
        <v>19</v>
      </c>
      <c r="B24">
        <v>22.83</v>
      </c>
      <c r="C24">
        <v>38.47</v>
      </c>
      <c r="D24">
        <v>51.52</v>
      </c>
      <c r="E24">
        <v>-837.07</v>
      </c>
      <c r="F24">
        <v>-1258.2</v>
      </c>
      <c r="G24">
        <v>-1041.82</v>
      </c>
      <c r="H24">
        <v>62.02</v>
      </c>
      <c r="I24">
        <v>85.14</v>
      </c>
      <c r="J24">
        <v>132.51</v>
      </c>
      <c r="K24">
        <v>171.74</v>
      </c>
    </row>
    <row r="25" spans="1:11" s="6" customFormat="1" x14ac:dyDescent="0.25">
      <c r="A25" s="6" t="s">
        <v>20</v>
      </c>
      <c r="B25">
        <v>35.700000000000003</v>
      </c>
      <c r="C25">
        <v>26.77</v>
      </c>
      <c r="D25">
        <v>13.86</v>
      </c>
      <c r="E25">
        <v>5.87</v>
      </c>
      <c r="F25">
        <v>46.89</v>
      </c>
      <c r="G25">
        <v>-30.01</v>
      </c>
      <c r="H25">
        <v>50.89</v>
      </c>
      <c r="I25">
        <v>-18.079999999999998</v>
      </c>
      <c r="J25">
        <v>-4.87</v>
      </c>
      <c r="K25">
        <v>48.4</v>
      </c>
    </row>
    <row r="26" spans="1:11" s="6" customFormat="1" x14ac:dyDescent="0.25">
      <c r="A26" s="6" t="s">
        <v>21</v>
      </c>
      <c r="B26">
        <v>317.41000000000003</v>
      </c>
      <c r="C26">
        <v>322.20999999999998</v>
      </c>
      <c r="D26">
        <v>346.64</v>
      </c>
      <c r="E26">
        <v>385.07</v>
      </c>
      <c r="F26">
        <v>488.63</v>
      </c>
      <c r="G26">
        <v>528.70000000000005</v>
      </c>
      <c r="H26">
        <v>531.26</v>
      </c>
      <c r="I26">
        <v>617.19000000000005</v>
      </c>
      <c r="J26">
        <v>680.91</v>
      </c>
      <c r="K26">
        <v>947.39</v>
      </c>
    </row>
    <row r="27" spans="1:11" s="6" customFormat="1" x14ac:dyDescent="0.25">
      <c r="A27" s="6" t="s">
        <v>22</v>
      </c>
      <c r="B27">
        <v>170.15</v>
      </c>
      <c r="C27">
        <v>434.74</v>
      </c>
      <c r="D27">
        <v>214.59</v>
      </c>
      <c r="E27">
        <v>222.8</v>
      </c>
      <c r="F27">
        <v>324.31</v>
      </c>
      <c r="G27">
        <v>293.74</v>
      </c>
      <c r="H27">
        <v>206.97</v>
      </c>
      <c r="I27">
        <v>204.09</v>
      </c>
      <c r="J27">
        <v>291.60000000000002</v>
      </c>
      <c r="K27">
        <v>482.86</v>
      </c>
    </row>
    <row r="28" spans="1:11" s="6" customFormat="1" x14ac:dyDescent="0.25">
      <c r="A28" s="6" t="s">
        <v>23</v>
      </c>
      <c r="B28">
        <v>190.61</v>
      </c>
      <c r="C28">
        <v>79.33</v>
      </c>
      <c r="D28">
        <v>290.95999999999998</v>
      </c>
      <c r="E28">
        <v>433.8</v>
      </c>
      <c r="F28">
        <v>696.27</v>
      </c>
      <c r="G28">
        <v>362.51</v>
      </c>
      <c r="H28">
        <v>1006.61</v>
      </c>
      <c r="I28">
        <v>2023.64</v>
      </c>
      <c r="J28">
        <v>2739.36</v>
      </c>
      <c r="K28">
        <v>3433.09</v>
      </c>
    </row>
    <row r="29" spans="1:11" s="6" customFormat="1" x14ac:dyDescent="0.25">
      <c r="A29" s="6" t="s">
        <v>24</v>
      </c>
      <c r="B29">
        <v>78.849999999999994</v>
      </c>
      <c r="C29">
        <v>31.3</v>
      </c>
      <c r="D29">
        <v>76.900000000000006</v>
      </c>
      <c r="E29">
        <v>133.93</v>
      </c>
      <c r="F29">
        <v>224.07</v>
      </c>
      <c r="G29">
        <v>5.23</v>
      </c>
      <c r="H29">
        <v>260.55</v>
      </c>
      <c r="I29">
        <v>473.53</v>
      </c>
      <c r="J29">
        <v>637.54999999999995</v>
      </c>
      <c r="K29">
        <v>798.8</v>
      </c>
    </row>
    <row r="30" spans="1:11" s="6" customFormat="1" x14ac:dyDescent="0.25">
      <c r="A30" s="6" t="s">
        <v>25</v>
      </c>
      <c r="B30">
        <v>113.04</v>
      </c>
      <c r="C30">
        <v>42.38</v>
      </c>
      <c r="D30">
        <v>210.15</v>
      </c>
      <c r="E30">
        <v>292.83999999999997</v>
      </c>
      <c r="F30">
        <v>468.98</v>
      </c>
      <c r="G30">
        <v>329</v>
      </c>
      <c r="H30">
        <v>694.05</v>
      </c>
      <c r="I30">
        <v>1497.43</v>
      </c>
      <c r="J30">
        <v>2055.92</v>
      </c>
      <c r="K30">
        <v>2594.63</v>
      </c>
    </row>
    <row r="31" spans="1:11" s="6" customFormat="1" x14ac:dyDescent="0.25">
      <c r="A31" s="6" t="s">
        <v>26</v>
      </c>
      <c r="D31">
        <v>45.65</v>
      </c>
      <c r="E31">
        <v>45.66</v>
      </c>
      <c r="F31">
        <v>72.17</v>
      </c>
      <c r="G31">
        <v>72.17</v>
      </c>
      <c r="H31">
        <v>108.26</v>
      </c>
      <c r="I31">
        <v>227.34</v>
      </c>
      <c r="J31">
        <v>324.8</v>
      </c>
      <c r="K31">
        <v>338.15</v>
      </c>
    </row>
    <row r="32" spans="1:11" s="6" customFormat="1" x14ac:dyDescent="0.25"/>
    <row r="33" spans="1:11" x14ac:dyDescent="0.25">
      <c r="A33" s="6" t="s">
        <v>65</v>
      </c>
      <c r="B33" s="2">
        <f>B17-(SUM(B18,B20:B22)-1*B19)-(SUM(B23:B24))</f>
        <v>642.46999999999946</v>
      </c>
      <c r="C33" s="2">
        <f t="shared" ref="C33:K33" si="0">C17-(SUM(C18,C20:C22)-1*C19)-(SUM(C23:C24))</f>
        <v>809.51000000000022</v>
      </c>
      <c r="D33" s="2">
        <f t="shared" si="0"/>
        <v>838.33</v>
      </c>
      <c r="E33" s="2">
        <f t="shared" si="0"/>
        <v>1035.8000000000002</v>
      </c>
      <c r="F33" s="2">
        <f t="shared" si="0"/>
        <v>1462.32</v>
      </c>
      <c r="G33" s="2">
        <f t="shared" si="0"/>
        <v>1214.9600000000003</v>
      </c>
      <c r="H33" s="2">
        <f t="shared" si="0"/>
        <v>1693.9499999999987</v>
      </c>
      <c r="I33" s="2">
        <f t="shared" si="0"/>
        <v>2862.9999999999982</v>
      </c>
      <c r="J33" s="2">
        <f>J17-(SUM(J18,J20:J22)-1*J19)-(SUM(J23:J24))</f>
        <v>3716.74</v>
      </c>
      <c r="K33" s="2">
        <f t="shared" si="0"/>
        <v>4814.9400000000005</v>
      </c>
    </row>
    <row r="34" spans="1:11" x14ac:dyDescent="0.25">
      <c r="A34" s="6"/>
    </row>
    <row r="35" spans="1:11" x14ac:dyDescent="0.25">
      <c r="A35" s="6"/>
    </row>
    <row r="36" spans="1:11" x14ac:dyDescent="0.25">
      <c r="A36" s="6"/>
    </row>
    <row r="37" spans="1:11" x14ac:dyDescent="0.25">
      <c r="A37" s="6"/>
    </row>
    <row r="38" spans="1:11" x14ac:dyDescent="0.25">
      <c r="A38" s="6"/>
    </row>
    <row r="39" spans="1:11" x14ac:dyDescent="0.25">
      <c r="A39" s="6"/>
    </row>
    <row r="40" spans="1:11" x14ac:dyDescent="0.25">
      <c r="A40" s="1" t="s">
        <v>27</v>
      </c>
    </row>
    <row r="41" spans="1:11" s="5" customFormat="1" x14ac:dyDescent="0.25">
      <c r="A41" s="3" t="s">
        <v>11</v>
      </c>
      <c r="B41" s="4">
        <v>44926</v>
      </c>
      <c r="C41" s="4">
        <v>45016</v>
      </c>
      <c r="D41" s="4">
        <v>45107</v>
      </c>
      <c r="E41" s="4">
        <v>45199</v>
      </c>
      <c r="F41" s="4">
        <v>45291</v>
      </c>
      <c r="G41" s="4">
        <v>45382</v>
      </c>
      <c r="H41" s="4">
        <v>45473</v>
      </c>
      <c r="I41" s="4">
        <v>45565</v>
      </c>
      <c r="J41" s="4">
        <v>45657</v>
      </c>
      <c r="K41" s="4">
        <v>45747</v>
      </c>
    </row>
    <row r="42" spans="1:11" s="6" customFormat="1" x14ac:dyDescent="0.25">
      <c r="A42" s="6" t="s">
        <v>12</v>
      </c>
      <c r="B42">
        <v>2214.2399999999998</v>
      </c>
      <c r="C42">
        <v>3892.98</v>
      </c>
      <c r="D42">
        <v>5611.4</v>
      </c>
      <c r="E42">
        <v>3870.52</v>
      </c>
      <c r="F42">
        <v>2667.69</v>
      </c>
      <c r="G42">
        <v>4317.3100000000004</v>
      </c>
      <c r="H42">
        <v>7196.86</v>
      </c>
      <c r="I42">
        <v>4804.68</v>
      </c>
      <c r="J42">
        <v>3688.79</v>
      </c>
      <c r="K42">
        <v>5566.94</v>
      </c>
    </row>
    <row r="43" spans="1:11" s="6" customFormat="1" x14ac:dyDescent="0.25">
      <c r="A43" s="6" t="s">
        <v>28</v>
      </c>
      <c r="B43">
        <v>1906.75</v>
      </c>
      <c r="C43">
        <v>3094.97</v>
      </c>
      <c r="D43">
        <v>4100.62</v>
      </c>
      <c r="E43">
        <v>2988.8</v>
      </c>
      <c r="F43">
        <v>2249.4</v>
      </c>
      <c r="G43">
        <v>3328.7</v>
      </c>
      <c r="H43">
        <v>5206.18</v>
      </c>
      <c r="I43">
        <v>3653.65</v>
      </c>
      <c r="J43">
        <v>3109.5</v>
      </c>
      <c r="K43">
        <v>4303.5600000000004</v>
      </c>
    </row>
    <row r="44" spans="1:11" s="6" customFormat="1" x14ac:dyDescent="0.25">
      <c r="A44" s="6" t="s">
        <v>20</v>
      </c>
      <c r="B44">
        <v>9.25</v>
      </c>
      <c r="C44">
        <v>10.14</v>
      </c>
      <c r="D44">
        <v>41.6</v>
      </c>
      <c r="E44">
        <v>18.510000000000002</v>
      </c>
      <c r="F44">
        <v>9.32</v>
      </c>
      <c r="G44">
        <v>8.35</v>
      </c>
      <c r="H44">
        <v>44.03</v>
      </c>
      <c r="I44">
        <v>24.25</v>
      </c>
      <c r="J44">
        <v>44.64</v>
      </c>
      <c r="K44">
        <v>28.06</v>
      </c>
    </row>
    <row r="45" spans="1:11" s="6" customFormat="1" x14ac:dyDescent="0.25">
      <c r="A45" s="6" t="s">
        <v>21</v>
      </c>
      <c r="B45">
        <v>179.66</v>
      </c>
      <c r="C45">
        <v>172.2</v>
      </c>
      <c r="D45">
        <v>171.93</v>
      </c>
      <c r="E45">
        <v>170.81</v>
      </c>
      <c r="F45">
        <v>165.97</v>
      </c>
      <c r="G45">
        <v>187.52</v>
      </c>
      <c r="H45">
        <v>242.48</v>
      </c>
      <c r="I45">
        <v>256.61</v>
      </c>
      <c r="J45">
        <v>260.77999999999997</v>
      </c>
      <c r="K45">
        <v>272.51</v>
      </c>
    </row>
    <row r="46" spans="1:11" s="6" customFormat="1" x14ac:dyDescent="0.25">
      <c r="A46" s="6" t="s">
        <v>22</v>
      </c>
      <c r="B46">
        <v>47.48</v>
      </c>
      <c r="C46">
        <v>62.57</v>
      </c>
      <c r="D46">
        <v>69.37</v>
      </c>
      <c r="E46">
        <v>62.5</v>
      </c>
      <c r="F46">
        <v>73.66</v>
      </c>
      <c r="G46">
        <v>93.69</v>
      </c>
      <c r="H46">
        <v>129.16</v>
      </c>
      <c r="I46">
        <v>118.54</v>
      </c>
      <c r="J46">
        <v>109.01</v>
      </c>
      <c r="K46">
        <v>41.12</v>
      </c>
    </row>
    <row r="47" spans="1:11" s="6" customFormat="1" x14ac:dyDescent="0.25">
      <c r="A47" s="6" t="s">
        <v>23</v>
      </c>
      <c r="B47">
        <v>89.6</v>
      </c>
      <c r="C47">
        <v>573.38</v>
      </c>
      <c r="D47">
        <v>1311.08</v>
      </c>
      <c r="E47">
        <v>666.92</v>
      </c>
      <c r="F47">
        <v>187.98</v>
      </c>
      <c r="G47">
        <v>715.75</v>
      </c>
      <c r="H47">
        <v>1663.07</v>
      </c>
      <c r="I47">
        <v>800.13</v>
      </c>
      <c r="J47">
        <v>254.14</v>
      </c>
      <c r="K47">
        <v>977.81</v>
      </c>
    </row>
    <row r="48" spans="1:11" s="6" customFormat="1" x14ac:dyDescent="0.25">
      <c r="A48" s="6" t="s">
        <v>24</v>
      </c>
      <c r="B48">
        <v>8.08</v>
      </c>
      <c r="C48">
        <v>134.80000000000001</v>
      </c>
      <c r="D48">
        <v>305.66000000000003</v>
      </c>
      <c r="E48">
        <v>152.86000000000001</v>
      </c>
      <c r="F48">
        <v>44.22</v>
      </c>
      <c r="G48">
        <v>167.77</v>
      </c>
      <c r="H48">
        <v>401.24</v>
      </c>
      <c r="I48">
        <v>171.3</v>
      </c>
      <c r="J48">
        <v>58.5</v>
      </c>
      <c r="K48">
        <v>246.45</v>
      </c>
    </row>
    <row r="49" spans="1:11" s="6" customFormat="1" x14ac:dyDescent="0.25">
      <c r="A49" s="6" t="s">
        <v>25</v>
      </c>
      <c r="B49">
        <v>74.75</v>
      </c>
      <c r="C49">
        <v>429.07</v>
      </c>
      <c r="D49">
        <v>993.81</v>
      </c>
      <c r="E49">
        <v>501.07</v>
      </c>
      <c r="F49">
        <v>131.97</v>
      </c>
      <c r="G49">
        <v>537.27</v>
      </c>
      <c r="H49">
        <v>1252.5999999999999</v>
      </c>
      <c r="I49">
        <v>619.61</v>
      </c>
      <c r="J49">
        <v>185.15</v>
      </c>
      <c r="K49">
        <v>726.49</v>
      </c>
    </row>
    <row r="50" spans="1:11" x14ac:dyDescent="0.25">
      <c r="A50" s="6" t="s">
        <v>29</v>
      </c>
      <c r="B50">
        <v>307.49</v>
      </c>
      <c r="C50">
        <v>798.01</v>
      </c>
      <c r="D50">
        <v>1510.78</v>
      </c>
      <c r="E50">
        <v>881.72</v>
      </c>
      <c r="F50">
        <v>418.29</v>
      </c>
      <c r="G50">
        <v>988.61</v>
      </c>
      <c r="H50">
        <v>1990.68</v>
      </c>
      <c r="I50">
        <v>1151.03</v>
      </c>
      <c r="J50">
        <v>579.29</v>
      </c>
      <c r="K50">
        <v>1263.3800000000001</v>
      </c>
    </row>
    <row r="51" spans="1:11" x14ac:dyDescent="0.25">
      <c r="A51" s="6"/>
    </row>
    <row r="52" spans="1:11" x14ac:dyDescent="0.25">
      <c r="A52" s="6"/>
    </row>
    <row r="53" spans="1:11" x14ac:dyDescent="0.25">
      <c r="A53" s="6"/>
    </row>
    <row r="54" spans="1:11" x14ac:dyDescent="0.25">
      <c r="A54" s="6"/>
    </row>
    <row r="55" spans="1:11" x14ac:dyDescent="0.25">
      <c r="A55" s="1" t="s">
        <v>30</v>
      </c>
    </row>
    <row r="56" spans="1:11" s="5" customFormat="1" x14ac:dyDescent="0.25">
      <c r="A56" s="3" t="s">
        <v>11</v>
      </c>
      <c r="B56" s="4">
        <v>42369</v>
      </c>
      <c r="C56" s="4">
        <v>42735</v>
      </c>
      <c r="D56" s="4">
        <v>43100</v>
      </c>
      <c r="E56" s="4">
        <v>43465</v>
      </c>
      <c r="F56" s="4">
        <v>43830</v>
      </c>
      <c r="G56" s="4">
        <v>44196</v>
      </c>
      <c r="H56" s="4">
        <v>44561</v>
      </c>
      <c r="I56" s="4">
        <v>44926</v>
      </c>
      <c r="J56" s="4">
        <v>45291</v>
      </c>
      <c r="K56" s="4">
        <v>45657</v>
      </c>
    </row>
    <row r="57" spans="1:11" x14ac:dyDescent="0.25">
      <c r="A57" s="6" t="s">
        <v>31</v>
      </c>
      <c r="B57">
        <v>133.77000000000001</v>
      </c>
      <c r="C57">
        <v>182.31</v>
      </c>
      <c r="D57">
        <v>182.59</v>
      </c>
      <c r="E57">
        <v>182.64</v>
      </c>
      <c r="F57">
        <v>288.69</v>
      </c>
      <c r="G57">
        <v>288.69</v>
      </c>
      <c r="H57">
        <v>433.03</v>
      </c>
      <c r="I57">
        <v>649.54999999999995</v>
      </c>
      <c r="J57">
        <v>649.61</v>
      </c>
      <c r="K57">
        <v>676.3</v>
      </c>
    </row>
    <row r="58" spans="1:11" x14ac:dyDescent="0.25">
      <c r="A58" s="6" t="s">
        <v>32</v>
      </c>
      <c r="B58">
        <v>90.51</v>
      </c>
      <c r="C58">
        <v>1511.28</v>
      </c>
      <c r="D58">
        <v>1586.84</v>
      </c>
      <c r="E58">
        <v>1815.86</v>
      </c>
      <c r="F58">
        <v>3039.73</v>
      </c>
      <c r="G58">
        <v>3235.31</v>
      </c>
      <c r="H58">
        <v>3646.88</v>
      </c>
      <c r="I58">
        <v>4452.83</v>
      </c>
      <c r="J58">
        <v>6286.89</v>
      </c>
      <c r="K58">
        <v>15933.53</v>
      </c>
    </row>
    <row r="59" spans="1:11" x14ac:dyDescent="0.25">
      <c r="A59" s="6" t="s">
        <v>33</v>
      </c>
      <c r="B59">
        <v>2527.35</v>
      </c>
      <c r="C59">
        <v>2215.4</v>
      </c>
      <c r="D59">
        <v>2653.7</v>
      </c>
      <c r="E59">
        <v>2807.87</v>
      </c>
      <c r="F59">
        <v>3417.18</v>
      </c>
      <c r="G59">
        <v>3216.13</v>
      </c>
      <c r="H59">
        <v>3386.76</v>
      </c>
      <c r="I59">
        <v>3883.81</v>
      </c>
      <c r="J59">
        <v>5431.31</v>
      </c>
      <c r="K59">
        <v>2826.25</v>
      </c>
    </row>
    <row r="60" spans="1:11" x14ac:dyDescent="0.25">
      <c r="A60" s="6" t="s">
        <v>34</v>
      </c>
      <c r="B60">
        <v>1679.62</v>
      </c>
      <c r="C60">
        <v>915.43</v>
      </c>
      <c r="D60">
        <v>852.48</v>
      </c>
      <c r="E60">
        <v>1191.6400000000001</v>
      </c>
      <c r="F60">
        <v>1629.98</v>
      </c>
      <c r="G60">
        <v>1707.24</v>
      </c>
      <c r="H60">
        <v>2112.81</v>
      </c>
      <c r="I60">
        <v>2632.05</v>
      </c>
      <c r="J60">
        <v>2819.37</v>
      </c>
      <c r="K60">
        <v>3688.21</v>
      </c>
    </row>
    <row r="61" spans="1:11" s="1" customFormat="1" x14ac:dyDescent="0.25">
      <c r="A61" s="1" t="s">
        <v>35</v>
      </c>
      <c r="B61">
        <v>4431.25</v>
      </c>
      <c r="C61">
        <v>4824.42</v>
      </c>
      <c r="D61">
        <v>5275.61</v>
      </c>
      <c r="E61">
        <v>5998.01</v>
      </c>
      <c r="F61">
        <v>8375.58</v>
      </c>
      <c r="G61">
        <v>8447.3700000000008</v>
      </c>
      <c r="H61">
        <v>9579.48</v>
      </c>
      <c r="I61">
        <v>11618.24</v>
      </c>
      <c r="J61">
        <v>15187.18</v>
      </c>
      <c r="K61">
        <v>23124.29</v>
      </c>
    </row>
    <row r="62" spans="1:11" x14ac:dyDescent="0.25">
      <c r="A62" s="6" t="s">
        <v>36</v>
      </c>
      <c r="B62">
        <v>3495.57</v>
      </c>
      <c r="C62">
        <v>3715.5</v>
      </c>
      <c r="D62">
        <v>3980.52</v>
      </c>
      <c r="E62">
        <v>4386.97</v>
      </c>
      <c r="F62">
        <v>6479.04</v>
      </c>
      <c r="G62">
        <v>6408.62</v>
      </c>
      <c r="H62">
        <v>6310.78</v>
      </c>
      <c r="I62">
        <v>6932.22</v>
      </c>
      <c r="J62">
        <v>8409.17</v>
      </c>
      <c r="K62">
        <v>13401.74</v>
      </c>
    </row>
    <row r="63" spans="1:11" x14ac:dyDescent="0.25">
      <c r="A63" s="6" t="s">
        <v>37</v>
      </c>
      <c r="B63">
        <v>37.909999999999997</v>
      </c>
      <c r="C63">
        <v>95.58</v>
      </c>
      <c r="D63">
        <v>145.44</v>
      </c>
      <c r="E63">
        <v>352.36</v>
      </c>
      <c r="F63">
        <v>63.82</v>
      </c>
      <c r="G63">
        <v>66.819999999999993</v>
      </c>
      <c r="H63">
        <v>496.61</v>
      </c>
      <c r="I63">
        <v>606.63</v>
      </c>
      <c r="J63">
        <v>1922.22</v>
      </c>
      <c r="K63">
        <v>1166.71</v>
      </c>
    </row>
    <row r="64" spans="1:11" x14ac:dyDescent="0.25">
      <c r="A64" s="6" t="s">
        <v>38</v>
      </c>
      <c r="B64">
        <v>3.27</v>
      </c>
      <c r="C64">
        <v>6.87</v>
      </c>
      <c r="D64">
        <v>8.23</v>
      </c>
      <c r="E64">
        <v>11.24</v>
      </c>
      <c r="I64">
        <v>0.01</v>
      </c>
      <c r="J64">
        <v>21.08</v>
      </c>
      <c r="K64">
        <v>59.5</v>
      </c>
    </row>
    <row r="65" spans="1:11" x14ac:dyDescent="0.25">
      <c r="A65" s="6" t="s">
        <v>39</v>
      </c>
      <c r="B65">
        <v>894.5</v>
      </c>
      <c r="C65">
        <v>1006.47</v>
      </c>
      <c r="D65">
        <v>1141.42</v>
      </c>
      <c r="E65">
        <v>1247.44</v>
      </c>
      <c r="F65">
        <v>1832.72</v>
      </c>
      <c r="G65">
        <v>1971.93</v>
      </c>
      <c r="H65">
        <v>2772.09</v>
      </c>
      <c r="I65">
        <v>4079.38</v>
      </c>
      <c r="J65">
        <v>4834.71</v>
      </c>
      <c r="K65">
        <v>8496.34</v>
      </c>
    </row>
    <row r="66" spans="1:11" s="1" customFormat="1" x14ac:dyDescent="0.25">
      <c r="A66" s="1" t="s">
        <v>35</v>
      </c>
      <c r="B66">
        <v>4431.25</v>
      </c>
      <c r="C66">
        <v>4824.42</v>
      </c>
      <c r="D66">
        <v>5275.61</v>
      </c>
      <c r="E66">
        <v>5998.01</v>
      </c>
      <c r="F66">
        <v>8375.58</v>
      </c>
      <c r="G66">
        <v>8447.3700000000008</v>
      </c>
      <c r="H66">
        <v>9579.48</v>
      </c>
      <c r="I66">
        <v>11618.24</v>
      </c>
      <c r="J66">
        <v>15187.18</v>
      </c>
      <c r="K66">
        <v>23124.29</v>
      </c>
    </row>
    <row r="67" spans="1:11" s="6" customFormat="1" x14ac:dyDescent="0.25">
      <c r="A67" s="6" t="s">
        <v>40</v>
      </c>
      <c r="B67">
        <v>97.91</v>
      </c>
      <c r="C67">
        <v>131.35</v>
      </c>
      <c r="D67">
        <v>150.25</v>
      </c>
      <c r="E67">
        <v>128.03</v>
      </c>
      <c r="F67">
        <v>172.56</v>
      </c>
      <c r="G67">
        <v>241.8</v>
      </c>
      <c r="H67">
        <v>221.25</v>
      </c>
      <c r="I67">
        <v>299.33999999999997</v>
      </c>
      <c r="J67">
        <v>359.39</v>
      </c>
      <c r="K67">
        <v>845.84</v>
      </c>
    </row>
    <row r="68" spans="1:11" x14ac:dyDescent="0.25">
      <c r="A68" s="6" t="s">
        <v>41</v>
      </c>
      <c r="B68">
        <v>424.66</v>
      </c>
      <c r="C68">
        <v>489.93</v>
      </c>
      <c r="D68">
        <v>438.89</v>
      </c>
      <c r="E68">
        <v>578.4</v>
      </c>
      <c r="F68">
        <v>881.51</v>
      </c>
      <c r="G68">
        <v>928.8</v>
      </c>
      <c r="H68">
        <v>1448.09</v>
      </c>
      <c r="I68">
        <v>1993.89</v>
      </c>
      <c r="J68">
        <v>2150.5300000000002</v>
      </c>
      <c r="K68">
        <v>2791.23</v>
      </c>
    </row>
    <row r="69" spans="1:11" x14ac:dyDescent="0.25">
      <c r="A69" s="2" t="s">
        <v>42</v>
      </c>
      <c r="B69">
        <v>58.07</v>
      </c>
      <c r="C69">
        <v>65.7</v>
      </c>
      <c r="D69">
        <v>94.46</v>
      </c>
      <c r="E69">
        <v>93.48</v>
      </c>
      <c r="F69">
        <v>171.08</v>
      </c>
      <c r="G69">
        <v>190.05</v>
      </c>
      <c r="H69">
        <v>336.62</v>
      </c>
      <c r="I69">
        <v>285.27</v>
      </c>
      <c r="J69">
        <v>459.86</v>
      </c>
      <c r="K69">
        <v>2450.0500000000002</v>
      </c>
    </row>
    <row r="70" spans="1:11" x14ac:dyDescent="0.25">
      <c r="A70" s="2" t="s">
        <v>43</v>
      </c>
      <c r="B70">
        <v>133766165</v>
      </c>
      <c r="C70">
        <v>182312525</v>
      </c>
      <c r="D70">
        <v>182586940</v>
      </c>
      <c r="E70">
        <v>182641940</v>
      </c>
      <c r="F70">
        <v>288688720</v>
      </c>
      <c r="G70">
        <v>288688720</v>
      </c>
      <c r="H70">
        <v>433033080</v>
      </c>
      <c r="I70">
        <v>649549620</v>
      </c>
      <c r="J70">
        <v>1299214976</v>
      </c>
      <c r="K70">
        <v>3381510017</v>
      </c>
    </row>
    <row r="71" spans="1:11" x14ac:dyDescent="0.25">
      <c r="A71" s="2" t="s">
        <v>44</v>
      </c>
      <c r="F71">
        <v>91327613</v>
      </c>
    </row>
    <row r="72" spans="1:11" x14ac:dyDescent="0.25">
      <c r="A72" s="2" t="s">
        <v>45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5</v>
      </c>
      <c r="K72">
        <v>2</v>
      </c>
    </row>
    <row r="73" spans="1:11" x14ac:dyDescent="0.25">
      <c r="B73"/>
      <c r="C73"/>
      <c r="D73"/>
      <c r="E73"/>
      <c r="F73"/>
      <c r="G73"/>
      <c r="H73"/>
      <c r="I73"/>
      <c r="J73"/>
      <c r="K73"/>
    </row>
    <row r="74" spans="1:11" x14ac:dyDescent="0.25">
      <c r="A74" s="2" t="s">
        <v>39</v>
      </c>
      <c r="B74" s="2">
        <f>B65-SUM(B67:B69)</f>
        <v>313.8599999999999</v>
      </c>
      <c r="C74" s="2">
        <f t="shared" ref="C74:K74" si="1">C65-SUM(C67:C69)</f>
        <v>319.49</v>
      </c>
      <c r="D74" s="2">
        <f t="shared" si="1"/>
        <v>457.82000000000005</v>
      </c>
      <c r="E74" s="2">
        <f t="shared" si="1"/>
        <v>447.53000000000009</v>
      </c>
      <c r="F74" s="2">
        <f t="shared" si="1"/>
        <v>607.57000000000016</v>
      </c>
      <c r="G74" s="2">
        <f t="shared" si="1"/>
        <v>611.2800000000002</v>
      </c>
      <c r="H74" s="2">
        <f t="shared" si="1"/>
        <v>766.13000000000011</v>
      </c>
      <c r="I74" s="2">
        <f t="shared" si="1"/>
        <v>1500.88</v>
      </c>
      <c r="J74" s="2">
        <f t="shared" si="1"/>
        <v>1864.9299999999998</v>
      </c>
      <c r="K74" s="2">
        <f t="shared" si="1"/>
        <v>2409.2199999999993</v>
      </c>
    </row>
    <row r="75" spans="1:11" x14ac:dyDescent="0.25">
      <c r="A75" s="6" t="s">
        <v>118</v>
      </c>
      <c r="B75" s="2">
        <f>SUM(B62:B65)</f>
        <v>4431.25</v>
      </c>
      <c r="C75" s="2">
        <f t="shared" ref="C75:K75" si="2">SUM(C62:C65)</f>
        <v>4824.42</v>
      </c>
      <c r="D75" s="2">
        <f t="shared" si="2"/>
        <v>5275.61</v>
      </c>
      <c r="E75" s="2">
        <f t="shared" si="2"/>
        <v>5998.01</v>
      </c>
      <c r="F75" s="2">
        <f t="shared" si="2"/>
        <v>8375.58</v>
      </c>
      <c r="G75" s="2">
        <f t="shared" si="2"/>
        <v>8447.369999999999</v>
      </c>
      <c r="H75" s="2">
        <f t="shared" si="2"/>
        <v>9579.48</v>
      </c>
      <c r="I75" s="2">
        <f t="shared" si="2"/>
        <v>11618.240000000002</v>
      </c>
      <c r="J75" s="2">
        <f t="shared" si="2"/>
        <v>15187.18</v>
      </c>
      <c r="K75" s="2">
        <f t="shared" si="2"/>
        <v>23124.29</v>
      </c>
    </row>
    <row r="76" spans="1:11" x14ac:dyDescent="0.25">
      <c r="A76" s="6"/>
    </row>
    <row r="77" spans="1:11" x14ac:dyDescent="0.25">
      <c r="A77" s="6"/>
    </row>
    <row r="78" spans="1:11" x14ac:dyDescent="0.25">
      <c r="A78" s="6"/>
    </row>
    <row r="79" spans="1:11" x14ac:dyDescent="0.25">
      <c r="A79" s="6"/>
    </row>
    <row r="80" spans="1:11" x14ac:dyDescent="0.25">
      <c r="A80" s="6"/>
    </row>
    <row r="81" spans="1:11" x14ac:dyDescent="0.25">
      <c r="A81" s="1" t="s">
        <v>46</v>
      </c>
    </row>
    <row r="82" spans="1:11" s="5" customFormat="1" x14ac:dyDescent="0.25">
      <c r="A82" s="3" t="s">
        <v>11</v>
      </c>
      <c r="B82" s="4">
        <v>42369</v>
      </c>
      <c r="C82" s="4">
        <v>42735</v>
      </c>
      <c r="D82" s="4">
        <v>43100</v>
      </c>
      <c r="E82" s="4">
        <v>43465</v>
      </c>
      <c r="F82" s="4">
        <v>43830</v>
      </c>
      <c r="G82" s="4">
        <v>44196</v>
      </c>
      <c r="H82" s="4">
        <v>44561</v>
      </c>
      <c r="I82" s="4">
        <v>44926</v>
      </c>
      <c r="J82" s="4">
        <v>45291</v>
      </c>
      <c r="K82" s="4">
        <v>45657</v>
      </c>
    </row>
    <row r="83" spans="1:11" s="1" customFormat="1" x14ac:dyDescent="0.25">
      <c r="A83" s="6" t="s">
        <v>47</v>
      </c>
      <c r="B83">
        <v>554.79</v>
      </c>
      <c r="C83">
        <v>825.78</v>
      </c>
      <c r="D83">
        <v>619.76</v>
      </c>
      <c r="E83">
        <v>999.78</v>
      </c>
      <c r="F83">
        <v>1307.5999999999999</v>
      </c>
      <c r="G83">
        <v>1011.99</v>
      </c>
      <c r="H83">
        <v>1231.42</v>
      </c>
      <c r="I83">
        <v>1790.03</v>
      </c>
      <c r="J83">
        <v>2390.7800000000002</v>
      </c>
      <c r="K83">
        <v>3381.1</v>
      </c>
    </row>
    <row r="84" spans="1:11" s="6" customFormat="1" x14ac:dyDescent="0.25">
      <c r="A84" s="6" t="s">
        <v>48</v>
      </c>
      <c r="B84">
        <v>-299.67</v>
      </c>
      <c r="C84">
        <v>-1047.8</v>
      </c>
      <c r="D84">
        <v>-745.95</v>
      </c>
      <c r="E84">
        <v>-937.4</v>
      </c>
      <c r="F84">
        <v>-2319.9</v>
      </c>
      <c r="G84">
        <v>-471.68</v>
      </c>
      <c r="H84">
        <v>-1007.55</v>
      </c>
      <c r="I84">
        <v>-1768.51</v>
      </c>
      <c r="J84">
        <v>-3287.8</v>
      </c>
      <c r="K84">
        <v>-4310.5600000000004</v>
      </c>
    </row>
    <row r="85" spans="1:11" s="6" customFormat="1" x14ac:dyDescent="0.25">
      <c r="A85" s="6" t="s">
        <v>49</v>
      </c>
      <c r="B85">
        <v>-236</v>
      </c>
      <c r="C85">
        <v>230.23</v>
      </c>
      <c r="D85">
        <v>158.63</v>
      </c>
      <c r="E85">
        <v>-84.39</v>
      </c>
      <c r="F85">
        <v>1107.3399999999999</v>
      </c>
      <c r="G85">
        <v>-573.72</v>
      </c>
      <c r="H85">
        <v>-177.68</v>
      </c>
      <c r="I85">
        <v>-17.940000000000001</v>
      </c>
      <c r="J85">
        <v>984.9</v>
      </c>
      <c r="K85">
        <v>2953.54</v>
      </c>
    </row>
    <row r="86" spans="1:11" s="1" customFormat="1" x14ac:dyDescent="0.25">
      <c r="A86" s="6" t="s">
        <v>50</v>
      </c>
      <c r="B86">
        <v>19.12</v>
      </c>
      <c r="C86">
        <v>8.2100000000000009</v>
      </c>
      <c r="D86">
        <v>32.450000000000003</v>
      </c>
      <c r="E86">
        <v>-22.01</v>
      </c>
      <c r="F86">
        <v>95.03</v>
      </c>
      <c r="G86">
        <v>-33.409999999999997</v>
      </c>
      <c r="H86">
        <v>46.19</v>
      </c>
      <c r="I86">
        <v>3.58</v>
      </c>
      <c r="J86">
        <v>87.88</v>
      </c>
      <c r="K86">
        <v>2024.07</v>
      </c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x14ac:dyDescent="0.25">
      <c r="A90" s="6"/>
    </row>
    <row r="91" spans="1:11" s="1" customFormat="1" x14ac:dyDescent="0.25">
      <c r="A91" s="1" t="s">
        <v>51</v>
      </c>
      <c r="C91">
        <v>22.55</v>
      </c>
      <c r="D91">
        <v>38.71</v>
      </c>
      <c r="E91">
        <v>46.49</v>
      </c>
      <c r="F91">
        <v>62.99</v>
      </c>
      <c r="G91">
        <v>81.430000000000007</v>
      </c>
      <c r="H91">
        <v>118.44</v>
      </c>
      <c r="I91">
        <v>264.51</v>
      </c>
      <c r="J91">
        <v>494.76</v>
      </c>
      <c r="K91">
        <v>638.5</v>
      </c>
    </row>
    <row r="93" spans="1:11" s="1" customFormat="1" x14ac:dyDescent="0.25">
      <c r="A93" s="1" t="s">
        <v>52</v>
      </c>
    </row>
    <row r="94" spans="1:11" x14ac:dyDescent="0.25">
      <c r="A94" s="2" t="s">
        <v>53</v>
      </c>
      <c r="B94" s="7">
        <v>225.72</v>
      </c>
      <c r="C94" s="7">
        <v>307.67</v>
      </c>
      <c r="D94" s="7">
        <v>308.14999999999998</v>
      </c>
      <c r="E94" s="7">
        <v>308.20999999999998</v>
      </c>
      <c r="F94" s="7">
        <v>324.77</v>
      </c>
      <c r="G94" s="7">
        <v>324.77</v>
      </c>
      <c r="H94" s="7">
        <v>324.77999999999997</v>
      </c>
      <c r="I94" s="7">
        <v>324.77999999999997</v>
      </c>
      <c r="J94" s="7">
        <v>324.8</v>
      </c>
      <c r="K94" s="7">
        <v>338.15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workbookViewId="0">
      <selection activeCell="J13" sqref="J13:J14"/>
    </sheetView>
  </sheetViews>
  <sheetFormatPr defaultRowHeight="15" x14ac:dyDescent="0.25"/>
  <cols>
    <col min="2" max="2" width="28.42578125" customWidth="1"/>
  </cols>
  <sheetData>
    <row r="2" spans="2:14" x14ac:dyDescent="0.25">
      <c r="C2" s="11">
        <v>41609</v>
      </c>
      <c r="D2" s="11">
        <v>41974</v>
      </c>
      <c r="E2" s="11">
        <v>42339</v>
      </c>
      <c r="F2" s="11">
        <v>42705</v>
      </c>
      <c r="G2" s="11">
        <v>43070</v>
      </c>
      <c r="H2" s="11">
        <v>43435</v>
      </c>
      <c r="I2" s="11">
        <v>43800</v>
      </c>
      <c r="J2" s="11">
        <v>44166</v>
      </c>
      <c r="K2" s="11">
        <v>44531</v>
      </c>
      <c r="L2" s="11">
        <v>44896</v>
      </c>
      <c r="M2" s="11">
        <v>45261</v>
      </c>
      <c r="N2" s="11">
        <v>45627</v>
      </c>
    </row>
    <row r="3" spans="2:14" x14ac:dyDescent="0.25">
      <c r="B3" t="s">
        <v>119</v>
      </c>
      <c r="C3">
        <v>297</v>
      </c>
      <c r="D3">
        <v>431</v>
      </c>
      <c r="E3">
        <v>555</v>
      </c>
      <c r="F3">
        <v>826</v>
      </c>
      <c r="G3">
        <v>620</v>
      </c>
      <c r="H3" s="41">
        <v>1000</v>
      </c>
      <c r="I3" s="41">
        <v>1308</v>
      </c>
      <c r="J3" s="41">
        <v>1012</v>
      </c>
      <c r="K3" s="41">
        <v>1231</v>
      </c>
      <c r="L3" s="41">
        <v>1790</v>
      </c>
      <c r="M3" s="41">
        <v>2391</v>
      </c>
      <c r="N3" s="41">
        <v>3381</v>
      </c>
    </row>
    <row r="4" spans="2:14" x14ac:dyDescent="0.25">
      <c r="B4" t="s">
        <v>86</v>
      </c>
      <c r="C4">
        <v>313</v>
      </c>
      <c r="D4">
        <v>397</v>
      </c>
      <c r="E4">
        <v>645</v>
      </c>
      <c r="F4">
        <v>820</v>
      </c>
      <c r="G4">
        <v>873</v>
      </c>
      <c r="H4" s="41">
        <v>1123</v>
      </c>
      <c r="I4" s="41">
        <v>1513</v>
      </c>
      <c r="J4" s="41">
        <v>1200</v>
      </c>
      <c r="K4" s="41">
        <v>1624</v>
      </c>
      <c r="L4" s="41">
        <v>2749</v>
      </c>
      <c r="M4" s="41">
        <v>3732</v>
      </c>
      <c r="N4" s="41">
        <v>4778</v>
      </c>
    </row>
    <row r="5" spans="2:14" x14ac:dyDescent="0.25">
      <c r="B5" t="s">
        <v>40</v>
      </c>
      <c r="C5">
        <v>21</v>
      </c>
      <c r="D5">
        <v>-38</v>
      </c>
      <c r="E5">
        <v>0</v>
      </c>
      <c r="F5">
        <v>7</v>
      </c>
      <c r="G5">
        <v>-34</v>
      </c>
      <c r="H5">
        <v>-13</v>
      </c>
      <c r="I5">
        <v>-32</v>
      </c>
      <c r="J5">
        <v>-76</v>
      </c>
      <c r="K5">
        <v>15</v>
      </c>
      <c r="L5">
        <v>-123</v>
      </c>
      <c r="M5">
        <v>-73</v>
      </c>
      <c r="N5">
        <v>-133</v>
      </c>
    </row>
    <row r="6" spans="2:14" x14ac:dyDescent="0.25">
      <c r="B6" t="s">
        <v>41</v>
      </c>
      <c r="C6">
        <v>-16</v>
      </c>
      <c r="D6">
        <v>-43</v>
      </c>
      <c r="E6">
        <v>-135</v>
      </c>
      <c r="F6">
        <v>-39</v>
      </c>
      <c r="G6">
        <v>45</v>
      </c>
      <c r="H6">
        <v>-151</v>
      </c>
      <c r="I6">
        <v>-185</v>
      </c>
      <c r="J6">
        <v>-47</v>
      </c>
      <c r="K6">
        <v>-519</v>
      </c>
      <c r="L6">
        <v>-557</v>
      </c>
      <c r="M6">
        <v>-160</v>
      </c>
      <c r="N6">
        <v>-479</v>
      </c>
    </row>
    <row r="7" spans="2:14" x14ac:dyDescent="0.25">
      <c r="B7" t="s">
        <v>87</v>
      </c>
      <c r="C7">
        <v>-49</v>
      </c>
      <c r="D7">
        <v>86</v>
      </c>
      <c r="E7">
        <v>149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5">
      <c r="B8" t="s">
        <v>88</v>
      </c>
      <c r="C8">
        <v>32</v>
      </c>
      <c r="D8">
        <v>39</v>
      </c>
      <c r="E8">
        <v>-56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 t="s">
        <v>89</v>
      </c>
      <c r="C9">
        <v>0</v>
      </c>
      <c r="D9">
        <v>0</v>
      </c>
      <c r="E9">
        <v>0</v>
      </c>
      <c r="F9">
        <v>95</v>
      </c>
      <c r="G9">
        <v>-207</v>
      </c>
      <c r="H9">
        <v>114</v>
      </c>
      <c r="I9">
        <v>132</v>
      </c>
      <c r="J9">
        <v>12</v>
      </c>
      <c r="K9">
        <v>236</v>
      </c>
      <c r="L9">
        <v>95</v>
      </c>
      <c r="M9">
        <v>-440</v>
      </c>
      <c r="N9">
        <v>-57</v>
      </c>
    </row>
    <row r="10" spans="2:14" x14ac:dyDescent="0.25">
      <c r="B10" t="s">
        <v>90</v>
      </c>
      <c r="C10">
        <v>-12</v>
      </c>
      <c r="D10">
        <v>44</v>
      </c>
      <c r="E10">
        <v>-42</v>
      </c>
      <c r="F10">
        <v>64</v>
      </c>
      <c r="G10">
        <v>-197</v>
      </c>
      <c r="H10">
        <v>-50</v>
      </c>
      <c r="I10">
        <v>-85</v>
      </c>
      <c r="J10">
        <v>-111</v>
      </c>
      <c r="K10">
        <v>-269</v>
      </c>
      <c r="L10">
        <v>-585</v>
      </c>
      <c r="M10">
        <v>-673</v>
      </c>
      <c r="N10">
        <v>-669</v>
      </c>
    </row>
    <row r="11" spans="2:14" x14ac:dyDescent="0.25">
      <c r="B11" t="s">
        <v>91</v>
      </c>
      <c r="C11">
        <v>-4</v>
      </c>
      <c r="D11">
        <v>-11</v>
      </c>
      <c r="E11">
        <v>-48</v>
      </c>
      <c r="F11">
        <v>-58</v>
      </c>
      <c r="G11">
        <v>-57</v>
      </c>
      <c r="H11">
        <v>-73</v>
      </c>
      <c r="I11">
        <v>-120</v>
      </c>
      <c r="J11">
        <v>-78</v>
      </c>
      <c r="K11">
        <v>-124</v>
      </c>
      <c r="L11">
        <v>-373</v>
      </c>
      <c r="M11">
        <v>-668</v>
      </c>
      <c r="N11">
        <v>-728</v>
      </c>
    </row>
    <row r="12" spans="2:14" x14ac:dyDescent="0.25">
      <c r="B12" t="s">
        <v>120</v>
      </c>
      <c r="C12">
        <v>-574</v>
      </c>
      <c r="D12">
        <v>-500</v>
      </c>
      <c r="E12">
        <v>-300</v>
      </c>
      <c r="F12" s="41">
        <v>-1048</v>
      </c>
      <c r="G12">
        <v>-746</v>
      </c>
      <c r="H12">
        <v>-937</v>
      </c>
      <c r="I12" s="41">
        <v>-2320</v>
      </c>
      <c r="J12">
        <v>-472</v>
      </c>
      <c r="K12" s="41">
        <v>-1008</v>
      </c>
      <c r="L12" s="41">
        <v>-1769</v>
      </c>
      <c r="M12" s="41">
        <v>-3288</v>
      </c>
      <c r="N12" s="41">
        <v>-4311</v>
      </c>
    </row>
    <row r="13" spans="2:14" x14ac:dyDescent="0.25">
      <c r="B13" t="s">
        <v>94</v>
      </c>
      <c r="C13">
        <v>-578</v>
      </c>
      <c r="D13">
        <v>-220</v>
      </c>
      <c r="E13">
        <v>-269</v>
      </c>
      <c r="F13">
        <v>-792</v>
      </c>
      <c r="G13">
        <v>-533</v>
      </c>
      <c r="H13">
        <v>-859</v>
      </c>
      <c r="I13">
        <v>-754</v>
      </c>
      <c r="J13">
        <v>-560</v>
      </c>
      <c r="K13">
        <v>-835</v>
      </c>
      <c r="L13" s="41">
        <v>-1801</v>
      </c>
      <c r="M13" s="41">
        <v>-3264</v>
      </c>
      <c r="N13" s="41">
        <v>-3779</v>
      </c>
    </row>
    <row r="14" spans="2:14" x14ac:dyDescent="0.25">
      <c r="B14" t="s">
        <v>95</v>
      </c>
      <c r="C14">
        <v>0</v>
      </c>
      <c r="D14">
        <v>0</v>
      </c>
      <c r="E14">
        <v>4</v>
      </c>
      <c r="F14">
        <v>12</v>
      </c>
      <c r="G14">
        <v>17</v>
      </c>
      <c r="H14">
        <v>50</v>
      </c>
      <c r="I14">
        <v>21</v>
      </c>
      <c r="J14">
        <v>24</v>
      </c>
      <c r="K14">
        <v>19</v>
      </c>
      <c r="L14">
        <v>51</v>
      </c>
      <c r="M14">
        <v>70</v>
      </c>
      <c r="N14">
        <v>39</v>
      </c>
    </row>
    <row r="15" spans="2:14" x14ac:dyDescent="0.25">
      <c r="B15" t="s">
        <v>96</v>
      </c>
      <c r="C15">
        <v>0</v>
      </c>
      <c r="D15">
        <v>-302</v>
      </c>
      <c r="E15">
        <v>-550</v>
      </c>
      <c r="F15">
        <v>-35</v>
      </c>
      <c r="G15">
        <v>-35</v>
      </c>
      <c r="H15">
        <v>0</v>
      </c>
      <c r="I15">
        <v>-73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 t="s">
        <v>97</v>
      </c>
      <c r="C16">
        <v>0</v>
      </c>
      <c r="D16">
        <v>8</v>
      </c>
      <c r="E16">
        <v>512</v>
      </c>
      <c r="F16">
        <v>35</v>
      </c>
      <c r="G16">
        <v>35</v>
      </c>
      <c r="H16">
        <v>0</v>
      </c>
      <c r="I16">
        <v>73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2:14" x14ac:dyDescent="0.25">
      <c r="B17" t="s">
        <v>98</v>
      </c>
      <c r="C17">
        <v>4</v>
      </c>
      <c r="D17">
        <v>12</v>
      </c>
      <c r="E17">
        <v>6</v>
      </c>
      <c r="F17">
        <v>8</v>
      </c>
      <c r="G17">
        <v>5</v>
      </c>
      <c r="H17">
        <v>6</v>
      </c>
      <c r="I17">
        <v>5</v>
      </c>
      <c r="J17">
        <v>9</v>
      </c>
      <c r="K17">
        <v>13</v>
      </c>
      <c r="L17">
        <v>23</v>
      </c>
      <c r="M17">
        <v>22</v>
      </c>
      <c r="N17">
        <v>28</v>
      </c>
    </row>
    <row r="18" spans="2:14" x14ac:dyDescent="0.25">
      <c r="B18" t="s">
        <v>99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-22</v>
      </c>
      <c r="N19">
        <v>-40</v>
      </c>
    </row>
    <row r="20" spans="2:14" x14ac:dyDescent="0.25">
      <c r="B20" t="s">
        <v>101</v>
      </c>
      <c r="C20">
        <v>0</v>
      </c>
      <c r="D20">
        <v>0</v>
      </c>
      <c r="E20">
        <v>0</v>
      </c>
      <c r="F20">
        <v>-276</v>
      </c>
      <c r="G20">
        <v>-212</v>
      </c>
      <c r="H20">
        <v>0</v>
      </c>
      <c r="I20">
        <v>-8</v>
      </c>
      <c r="J20">
        <v>0</v>
      </c>
      <c r="K20">
        <v>0</v>
      </c>
      <c r="L20">
        <v>0</v>
      </c>
      <c r="M20">
        <v>-10</v>
      </c>
      <c r="N20">
        <v>-200</v>
      </c>
    </row>
    <row r="21" spans="2:14" x14ac:dyDescent="0.25">
      <c r="B21" t="s">
        <v>102</v>
      </c>
      <c r="C21">
        <v>0</v>
      </c>
      <c r="D21">
        <v>0</v>
      </c>
      <c r="E21">
        <v>-4</v>
      </c>
      <c r="F21">
        <v>0</v>
      </c>
      <c r="G21">
        <v>-23</v>
      </c>
      <c r="H21">
        <v>-134</v>
      </c>
      <c r="I21" s="41">
        <v>-1583</v>
      </c>
      <c r="J21">
        <v>55</v>
      </c>
      <c r="K21">
        <v>-205</v>
      </c>
      <c r="L21">
        <v>-42</v>
      </c>
      <c r="M21">
        <v>-85</v>
      </c>
      <c r="N21">
        <v>-361</v>
      </c>
    </row>
    <row r="22" spans="2:14" x14ac:dyDescent="0.25">
      <c r="B22" t="s">
        <v>121</v>
      </c>
      <c r="C22">
        <v>274</v>
      </c>
      <c r="D22">
        <v>58</v>
      </c>
      <c r="E22">
        <v>-236</v>
      </c>
      <c r="F22">
        <v>230</v>
      </c>
      <c r="G22">
        <v>159</v>
      </c>
      <c r="H22">
        <v>-84</v>
      </c>
      <c r="I22" s="41">
        <v>1107</v>
      </c>
      <c r="J22">
        <v>-574</v>
      </c>
      <c r="K22">
        <v>-178</v>
      </c>
      <c r="L22">
        <v>-18</v>
      </c>
      <c r="M22">
        <v>985</v>
      </c>
      <c r="N22" s="41">
        <v>2954</v>
      </c>
    </row>
    <row r="23" spans="2:14" x14ac:dyDescent="0.25">
      <c r="B23" t="s">
        <v>105</v>
      </c>
      <c r="C23">
        <v>40</v>
      </c>
      <c r="D23">
        <v>240</v>
      </c>
      <c r="E23">
        <v>0</v>
      </c>
      <c r="F23">
        <v>701</v>
      </c>
      <c r="G23">
        <v>4</v>
      </c>
      <c r="H23">
        <v>1</v>
      </c>
      <c r="I23">
        <v>900</v>
      </c>
      <c r="J23">
        <v>0</v>
      </c>
      <c r="K23">
        <v>0</v>
      </c>
      <c r="L23">
        <v>0</v>
      </c>
      <c r="M23">
        <v>4</v>
      </c>
      <c r="N23" s="41">
        <v>7512</v>
      </c>
    </row>
    <row r="24" spans="2:14" x14ac:dyDescent="0.25">
      <c r="B24" t="s">
        <v>122</v>
      </c>
      <c r="C24">
        <v>0</v>
      </c>
      <c r="D24">
        <v>0</v>
      </c>
      <c r="E24">
        <v>320</v>
      </c>
      <c r="F24">
        <v>180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 x14ac:dyDescent="0.25">
      <c r="B25" t="s">
        <v>106</v>
      </c>
      <c r="C25">
        <v>0</v>
      </c>
      <c r="D25">
        <v>0</v>
      </c>
      <c r="E25">
        <v>0</v>
      </c>
      <c r="F25">
        <v>-500</v>
      </c>
      <c r="G25">
        <v>0</v>
      </c>
      <c r="H25">
        <v>-300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 t="s">
        <v>107</v>
      </c>
      <c r="C26">
        <v>396</v>
      </c>
      <c r="D26">
        <v>171</v>
      </c>
      <c r="E26">
        <v>332</v>
      </c>
      <c r="F26">
        <v>0</v>
      </c>
      <c r="G26">
        <v>0</v>
      </c>
      <c r="H26" s="41">
        <v>1400</v>
      </c>
      <c r="I26" s="41">
        <v>1958</v>
      </c>
      <c r="J26" s="41">
        <v>1020</v>
      </c>
      <c r="K26">
        <v>855</v>
      </c>
      <c r="L26" s="41">
        <v>1478</v>
      </c>
      <c r="M26" s="41">
        <v>2783</v>
      </c>
      <c r="N26" s="41">
        <v>1957</v>
      </c>
    </row>
    <row r="27" spans="2:14" x14ac:dyDescent="0.25">
      <c r="B27" t="s">
        <v>108</v>
      </c>
      <c r="C27">
        <v>-1</v>
      </c>
      <c r="D27">
        <v>-87</v>
      </c>
      <c r="E27">
        <v>-997</v>
      </c>
      <c r="F27">
        <v>71</v>
      </c>
      <c r="G27">
        <v>-57</v>
      </c>
      <c r="H27">
        <v>-644</v>
      </c>
      <c r="I27" s="41">
        <v>-1310</v>
      </c>
      <c r="J27" s="41">
        <v>-1233</v>
      </c>
      <c r="K27">
        <v>-726</v>
      </c>
      <c r="L27" s="41">
        <v>-1138</v>
      </c>
      <c r="M27" s="41">
        <v>-1277</v>
      </c>
      <c r="N27" s="41">
        <v>-5508</v>
      </c>
    </row>
    <row r="28" spans="2:14" x14ac:dyDescent="0.25">
      <c r="B28" t="s">
        <v>109</v>
      </c>
      <c r="C28">
        <v>-161</v>
      </c>
      <c r="D28">
        <v>-186</v>
      </c>
      <c r="E28">
        <v>-141</v>
      </c>
      <c r="F28">
        <v>-219</v>
      </c>
      <c r="G28">
        <v>-156</v>
      </c>
      <c r="H28">
        <v>-189</v>
      </c>
      <c r="I28">
        <v>-303</v>
      </c>
      <c r="J28">
        <v>-277</v>
      </c>
      <c r="K28">
        <v>-179</v>
      </c>
      <c r="L28">
        <v>-172</v>
      </c>
      <c r="M28">
        <v>-269</v>
      </c>
      <c r="N28">
        <v>-465</v>
      </c>
    </row>
    <row r="29" spans="2:14" x14ac:dyDescent="0.25">
      <c r="B29" t="s">
        <v>110</v>
      </c>
      <c r="C29">
        <v>0</v>
      </c>
      <c r="D29">
        <v>0</v>
      </c>
      <c r="E29">
        <v>0</v>
      </c>
      <c r="F29">
        <v>0</v>
      </c>
      <c r="G29">
        <v>-46</v>
      </c>
      <c r="H29">
        <v>-46</v>
      </c>
      <c r="I29">
        <v>-69</v>
      </c>
      <c r="J29">
        <v>-72</v>
      </c>
      <c r="K29">
        <v>-108</v>
      </c>
      <c r="L29">
        <v>-162</v>
      </c>
      <c r="M29">
        <v>-227</v>
      </c>
      <c r="N29">
        <v>-325</v>
      </c>
    </row>
    <row r="30" spans="2:14" x14ac:dyDescent="0.25">
      <c r="B30" t="s">
        <v>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-11</v>
      </c>
      <c r="K30">
        <v>-19</v>
      </c>
      <c r="L30">
        <v>-23</v>
      </c>
      <c r="M30">
        <v>-30</v>
      </c>
      <c r="N30">
        <v>-156</v>
      </c>
    </row>
    <row r="31" spans="2:14" x14ac:dyDescent="0.25">
      <c r="B31" t="s">
        <v>123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 t="s">
        <v>124</v>
      </c>
      <c r="C32">
        <v>0</v>
      </c>
      <c r="D32">
        <v>0</v>
      </c>
      <c r="E32">
        <v>0</v>
      </c>
      <c r="F32">
        <v>-21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 t="s">
        <v>112</v>
      </c>
      <c r="C33">
        <v>0</v>
      </c>
      <c r="D33">
        <v>-80</v>
      </c>
      <c r="E33">
        <v>250</v>
      </c>
      <c r="F33">
        <v>17</v>
      </c>
      <c r="G33">
        <v>113</v>
      </c>
      <c r="H33">
        <v>-308</v>
      </c>
      <c r="I33">
        <v>-69</v>
      </c>
      <c r="J33">
        <v>0</v>
      </c>
      <c r="K33">
        <v>0</v>
      </c>
      <c r="L33">
        <v>0</v>
      </c>
      <c r="M33">
        <v>0</v>
      </c>
      <c r="N33">
        <v>-61</v>
      </c>
    </row>
    <row r="34" spans="2:14" x14ac:dyDescent="0.25">
      <c r="B34" t="s">
        <v>50</v>
      </c>
      <c r="C34">
        <v>-2</v>
      </c>
      <c r="D34">
        <v>-11</v>
      </c>
      <c r="E34">
        <v>19</v>
      </c>
      <c r="F34">
        <v>8</v>
      </c>
      <c r="G34">
        <v>32</v>
      </c>
      <c r="H34">
        <v>-22</v>
      </c>
      <c r="I34">
        <v>95</v>
      </c>
      <c r="J34">
        <v>-33</v>
      </c>
      <c r="K34">
        <v>46</v>
      </c>
      <c r="L34">
        <v>4</v>
      </c>
      <c r="M34">
        <v>88</v>
      </c>
      <c r="N34" s="41">
        <v>2024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1" sqref="P11"/>
    </sheetView>
  </sheetViews>
  <sheetFormatPr defaultRowHeight="15" x14ac:dyDescent="0.25"/>
  <cols>
    <col min="2" max="2" width="24.85546875" bestFit="1" customWidth="1"/>
    <col min="12" max="14" width="10.42578125" bestFit="1" customWidth="1"/>
  </cols>
  <sheetData>
    <row r="1" spans="1:14" x14ac:dyDescent="0.25">
      <c r="A1" s="84"/>
    </row>
    <row r="2" spans="1:14" s="88" customFormat="1" x14ac:dyDescent="0.25">
      <c r="A2" s="85"/>
      <c r="B2" s="86" t="s">
        <v>159</v>
      </c>
      <c r="C2" s="87">
        <v>41609</v>
      </c>
      <c r="D2" s="87">
        <v>41974</v>
      </c>
      <c r="E2" s="87">
        <v>42339</v>
      </c>
      <c r="F2" s="87">
        <v>42705</v>
      </c>
      <c r="G2" s="87">
        <v>43070</v>
      </c>
      <c r="H2" s="87">
        <v>43435</v>
      </c>
      <c r="I2" s="87">
        <v>43800</v>
      </c>
      <c r="J2" s="87">
        <v>44166</v>
      </c>
      <c r="K2" s="87">
        <v>44531</v>
      </c>
      <c r="L2" s="87">
        <v>44896</v>
      </c>
      <c r="M2" s="87">
        <v>45261</v>
      </c>
      <c r="N2" s="87">
        <v>45627</v>
      </c>
    </row>
    <row r="3" spans="1:14" x14ac:dyDescent="0.25">
      <c r="A3" s="84"/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4" x14ac:dyDescent="0.25">
      <c r="A4" s="84"/>
      <c r="B4" s="30" t="s">
        <v>125</v>
      </c>
      <c r="C4" s="77">
        <v>134</v>
      </c>
      <c r="D4" s="77">
        <v>134</v>
      </c>
      <c r="E4" s="77">
        <v>134</v>
      </c>
      <c r="F4" s="77">
        <v>182</v>
      </c>
      <c r="G4" s="77">
        <v>183</v>
      </c>
      <c r="H4" s="77">
        <v>183</v>
      </c>
      <c r="I4" s="77">
        <v>289</v>
      </c>
      <c r="J4" s="77">
        <v>289</v>
      </c>
      <c r="K4" s="77">
        <v>433</v>
      </c>
      <c r="L4" s="77">
        <v>650</v>
      </c>
      <c r="M4" s="77">
        <v>650</v>
      </c>
      <c r="N4" s="77">
        <v>676</v>
      </c>
    </row>
    <row r="5" spans="1:14" x14ac:dyDescent="0.25">
      <c r="A5" s="84"/>
      <c r="B5" s="30" t="s">
        <v>32</v>
      </c>
      <c r="C5" s="77">
        <v>82</v>
      </c>
      <c r="D5" s="77">
        <v>9</v>
      </c>
      <c r="E5" s="77">
        <v>91</v>
      </c>
      <c r="F5" s="77">
        <v>1511</v>
      </c>
      <c r="G5" s="77">
        <v>1587</v>
      </c>
      <c r="H5" s="77">
        <v>1816</v>
      </c>
      <c r="I5" s="77">
        <v>3040</v>
      </c>
      <c r="J5" s="77">
        <v>3235</v>
      </c>
      <c r="K5" s="77">
        <v>3647</v>
      </c>
      <c r="L5" s="77">
        <v>4453</v>
      </c>
      <c r="M5" s="77">
        <v>6287</v>
      </c>
      <c r="N5" s="77">
        <v>15934</v>
      </c>
    </row>
    <row r="6" spans="1:14" x14ac:dyDescent="0.25">
      <c r="A6" s="84"/>
      <c r="B6" s="30" t="s">
        <v>126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 x14ac:dyDescent="0.25">
      <c r="A7" s="84"/>
      <c r="B7" t="s">
        <v>127</v>
      </c>
      <c r="C7" s="77"/>
      <c r="D7" s="77">
        <v>1623</v>
      </c>
      <c r="E7" s="77">
        <v>1580</v>
      </c>
      <c r="F7" s="77">
        <v>1218</v>
      </c>
      <c r="G7" s="77">
        <v>1691</v>
      </c>
      <c r="H7" s="77">
        <v>1980</v>
      </c>
      <c r="I7" s="77">
        <v>2355</v>
      </c>
      <c r="J7" s="77">
        <v>1980</v>
      </c>
      <c r="K7" s="77">
        <v>1813</v>
      </c>
      <c r="L7" s="77">
        <v>1727</v>
      </c>
      <c r="M7" s="77">
        <v>3189</v>
      </c>
      <c r="N7" s="77">
        <v>841</v>
      </c>
    </row>
    <row r="8" spans="1:14" x14ac:dyDescent="0.25">
      <c r="A8" s="84"/>
      <c r="B8" t="s">
        <v>128</v>
      </c>
      <c r="C8" s="77"/>
      <c r="D8" s="77">
        <v>509</v>
      </c>
      <c r="E8" s="77">
        <v>252</v>
      </c>
      <c r="F8" s="77">
        <v>411</v>
      </c>
      <c r="G8" s="77">
        <v>353</v>
      </c>
      <c r="H8" s="77">
        <v>378</v>
      </c>
      <c r="I8" s="77">
        <v>467</v>
      </c>
      <c r="J8" s="77">
        <v>714</v>
      </c>
      <c r="K8" s="77">
        <v>1529</v>
      </c>
      <c r="L8" s="77">
        <v>1968</v>
      </c>
      <c r="M8" s="77">
        <v>2005</v>
      </c>
      <c r="N8" s="77">
        <v>1524</v>
      </c>
    </row>
    <row r="9" spans="1:14" x14ac:dyDescent="0.25">
      <c r="A9" s="84"/>
      <c r="B9" t="s">
        <v>129</v>
      </c>
      <c r="C9" s="77"/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7">
        <v>45</v>
      </c>
      <c r="L9" s="77">
        <v>189</v>
      </c>
      <c r="M9" s="77">
        <v>237</v>
      </c>
      <c r="N9" s="77">
        <v>462</v>
      </c>
    </row>
    <row r="10" spans="1:14" x14ac:dyDescent="0.25">
      <c r="A10" s="84"/>
      <c r="B10" t="s">
        <v>130</v>
      </c>
      <c r="C10" s="77">
        <v>0</v>
      </c>
      <c r="D10" s="77">
        <v>200</v>
      </c>
      <c r="E10" s="77">
        <v>450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</row>
    <row r="11" spans="1:14" x14ac:dyDescent="0.25">
      <c r="A11" s="84"/>
      <c r="B11" t="s">
        <v>131</v>
      </c>
      <c r="C11" s="77">
        <v>2332</v>
      </c>
      <c r="D11" s="77">
        <v>484</v>
      </c>
      <c r="E11" s="77">
        <v>695</v>
      </c>
      <c r="F11" s="77">
        <v>586</v>
      </c>
      <c r="G11" s="77">
        <v>609</v>
      </c>
      <c r="H11" s="77">
        <v>450</v>
      </c>
      <c r="I11" s="77">
        <v>595</v>
      </c>
      <c r="J11" s="77">
        <v>523</v>
      </c>
      <c r="K11" s="77">
        <v>0</v>
      </c>
      <c r="L11" s="77">
        <v>0</v>
      </c>
      <c r="M11" s="77">
        <v>0</v>
      </c>
      <c r="N11" s="77">
        <v>0</v>
      </c>
    </row>
    <row r="12" spans="1:14" x14ac:dyDescent="0.25">
      <c r="A12" s="84"/>
      <c r="B12" s="30" t="s">
        <v>132</v>
      </c>
      <c r="C12" s="77">
        <f>SUM(C13:C16)</f>
        <v>438</v>
      </c>
      <c r="D12" s="77">
        <f t="shared" ref="D12:E12" si="0">SUM(D13:D16)</f>
        <v>534</v>
      </c>
      <c r="E12" s="77">
        <f t="shared" si="0"/>
        <v>1681</v>
      </c>
      <c r="F12" s="77">
        <f>SUM(F13:F16)</f>
        <v>916</v>
      </c>
      <c r="G12" s="77">
        <f t="shared" ref="G12" si="1">SUM(G13:G16)</f>
        <v>853</v>
      </c>
      <c r="H12" s="77">
        <f>SUM(H13:H16)</f>
        <v>1193</v>
      </c>
      <c r="I12" s="77">
        <f t="shared" ref="I12" si="2">SUM(I13:I16)</f>
        <v>1631</v>
      </c>
      <c r="J12" s="77">
        <f t="shared" ref="J12" si="3">SUM(J13:J16)</f>
        <v>1707</v>
      </c>
      <c r="K12" s="77">
        <f>SUM(K13:K16)</f>
        <v>2113</v>
      </c>
      <c r="L12" s="77">
        <f t="shared" ref="L12" si="4">SUM(L13:L16)</f>
        <v>2631</v>
      </c>
      <c r="M12" s="77">
        <f>SUM(M13:M16)</f>
        <v>2818</v>
      </c>
      <c r="N12" s="77">
        <f t="shared" ref="N12" si="5">SUM(N13:N16)</f>
        <v>3687</v>
      </c>
    </row>
    <row r="13" spans="1:14" x14ac:dyDescent="0.25">
      <c r="A13" s="84"/>
      <c r="B13" t="s">
        <v>133</v>
      </c>
      <c r="C13" s="77">
        <v>0</v>
      </c>
      <c r="D13" s="77">
        <v>0</v>
      </c>
      <c r="E13" s="77">
        <v>0</v>
      </c>
      <c r="F13" s="77">
        <v>-13</v>
      </c>
      <c r="G13" s="77">
        <v>-1</v>
      </c>
      <c r="H13" s="77">
        <v>8</v>
      </c>
      <c r="I13" s="77">
        <v>31</v>
      </c>
      <c r="J13" s="77">
        <v>65</v>
      </c>
      <c r="K13" s="77">
        <v>117</v>
      </c>
      <c r="L13" s="77">
        <v>113</v>
      </c>
      <c r="M13" s="77">
        <v>148</v>
      </c>
      <c r="N13" s="77">
        <v>130</v>
      </c>
    </row>
    <row r="14" spans="1:14" x14ac:dyDescent="0.25">
      <c r="A14" s="84"/>
      <c r="B14" t="s">
        <v>134</v>
      </c>
      <c r="C14" s="77">
        <v>139</v>
      </c>
      <c r="D14" s="77">
        <v>181</v>
      </c>
      <c r="E14" s="77">
        <v>185</v>
      </c>
      <c r="F14" s="77">
        <v>275</v>
      </c>
      <c r="G14" s="77">
        <v>191</v>
      </c>
      <c r="H14" s="77">
        <v>317</v>
      </c>
      <c r="I14" s="77">
        <v>478</v>
      </c>
      <c r="J14" s="77">
        <v>511</v>
      </c>
      <c r="K14" s="77">
        <v>712</v>
      </c>
      <c r="L14" s="77">
        <v>824</v>
      </c>
      <c r="M14" s="77">
        <v>758</v>
      </c>
      <c r="N14" s="77">
        <v>1560</v>
      </c>
    </row>
    <row r="15" spans="1:14" x14ac:dyDescent="0.25">
      <c r="A15" s="84"/>
      <c r="B15" t="s">
        <v>135</v>
      </c>
      <c r="C15" s="77">
        <v>20</v>
      </c>
      <c r="D15" s="77">
        <v>18</v>
      </c>
      <c r="E15" s="77">
        <v>61</v>
      </c>
      <c r="F15" s="77">
        <v>96</v>
      </c>
      <c r="G15" s="77">
        <v>71</v>
      </c>
      <c r="H15" s="77">
        <v>69</v>
      </c>
      <c r="I15" s="77">
        <v>113</v>
      </c>
      <c r="J15" s="77">
        <v>173</v>
      </c>
      <c r="K15" s="77">
        <v>79</v>
      </c>
      <c r="L15" s="77">
        <v>203</v>
      </c>
      <c r="M15" s="77">
        <v>180</v>
      </c>
      <c r="N15" s="77">
        <v>219</v>
      </c>
    </row>
    <row r="16" spans="1:14" x14ac:dyDescent="0.25">
      <c r="A16" s="84"/>
      <c r="B16" t="s">
        <v>136</v>
      </c>
      <c r="C16" s="77">
        <v>279</v>
      </c>
      <c r="D16" s="77">
        <v>335</v>
      </c>
      <c r="E16" s="77">
        <v>1435</v>
      </c>
      <c r="F16" s="77">
        <v>558</v>
      </c>
      <c r="G16" s="77">
        <v>592</v>
      </c>
      <c r="H16" s="77">
        <v>799</v>
      </c>
      <c r="I16" s="77">
        <v>1009</v>
      </c>
      <c r="J16" s="77">
        <v>958</v>
      </c>
      <c r="K16" s="77">
        <v>1205</v>
      </c>
      <c r="L16" s="77">
        <v>1491</v>
      </c>
      <c r="M16" s="77">
        <v>1732</v>
      </c>
      <c r="N16" s="77">
        <v>1778</v>
      </c>
    </row>
    <row r="17" spans="1:14" x14ac:dyDescent="0.25">
      <c r="A17" s="84"/>
      <c r="B17" s="83" t="s">
        <v>79</v>
      </c>
      <c r="C17" s="82">
        <v>2986</v>
      </c>
      <c r="D17" s="82">
        <v>3292</v>
      </c>
      <c r="E17" s="82">
        <v>4431</v>
      </c>
      <c r="F17" s="82">
        <v>4824</v>
      </c>
      <c r="G17" s="82">
        <v>5276</v>
      </c>
      <c r="H17" s="82">
        <v>5998</v>
      </c>
      <c r="I17" s="82">
        <v>8376</v>
      </c>
      <c r="J17" s="82">
        <v>8447</v>
      </c>
      <c r="K17" s="82">
        <v>9579</v>
      </c>
      <c r="L17" s="82">
        <v>11618</v>
      </c>
      <c r="M17" s="82">
        <v>15187</v>
      </c>
      <c r="N17" s="82">
        <v>23124</v>
      </c>
    </row>
    <row r="18" spans="1:14" x14ac:dyDescent="0.25">
      <c r="A18" s="84"/>
      <c r="B18" s="3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x14ac:dyDescent="0.25">
      <c r="A19" s="84"/>
      <c r="B19" s="30" t="s">
        <v>137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x14ac:dyDescent="0.25">
      <c r="A20" s="84"/>
      <c r="B20" t="s">
        <v>138</v>
      </c>
      <c r="C20" s="78">
        <v>450</v>
      </c>
      <c r="D20" s="78">
        <v>449</v>
      </c>
      <c r="E20" s="78">
        <v>586</v>
      </c>
      <c r="F20" s="78">
        <v>683</v>
      </c>
      <c r="G20" s="78">
        <v>692</v>
      </c>
      <c r="H20" s="78">
        <v>783</v>
      </c>
      <c r="I20" s="78">
        <v>1209</v>
      </c>
      <c r="J20" s="78">
        <v>1250</v>
      </c>
      <c r="K20" s="78">
        <v>1296</v>
      </c>
      <c r="L20" s="78">
        <v>1679</v>
      </c>
      <c r="M20" s="78">
        <v>1832</v>
      </c>
      <c r="N20" s="78">
        <v>1902</v>
      </c>
    </row>
    <row r="21" spans="1:14" x14ac:dyDescent="0.25">
      <c r="A21" s="84"/>
      <c r="B21" t="s">
        <v>139</v>
      </c>
      <c r="C21" s="78">
        <v>363</v>
      </c>
      <c r="D21" s="78">
        <v>383</v>
      </c>
      <c r="E21" s="78">
        <v>478</v>
      </c>
      <c r="F21" s="78">
        <v>545</v>
      </c>
      <c r="G21" s="78">
        <v>636</v>
      </c>
      <c r="H21" s="78">
        <v>818</v>
      </c>
      <c r="I21" s="78">
        <v>1308</v>
      </c>
      <c r="J21" s="78">
        <v>1392</v>
      </c>
      <c r="K21" s="78">
        <v>1474</v>
      </c>
      <c r="L21" s="78">
        <v>1587</v>
      </c>
      <c r="M21" s="78">
        <v>1958</v>
      </c>
      <c r="N21" s="78">
        <v>3408</v>
      </c>
    </row>
    <row r="22" spans="1:14" x14ac:dyDescent="0.25">
      <c r="A22" s="84"/>
      <c r="B22" t="s">
        <v>140</v>
      </c>
      <c r="C22" s="78">
        <v>1168</v>
      </c>
      <c r="D22" s="78">
        <v>1212</v>
      </c>
      <c r="E22" s="78">
        <v>1661</v>
      </c>
      <c r="F22" s="78">
        <v>1835</v>
      </c>
      <c r="G22" s="78">
        <v>2075</v>
      </c>
      <c r="H22" s="78">
        <v>2248</v>
      </c>
      <c r="I22" s="78">
        <v>3565</v>
      </c>
      <c r="J22" s="78">
        <v>3831</v>
      </c>
      <c r="K22" s="78">
        <v>3967</v>
      </c>
      <c r="L22" s="78">
        <v>4401</v>
      </c>
      <c r="M22" s="78">
        <v>5499</v>
      </c>
      <c r="N22" s="78">
        <v>8598</v>
      </c>
    </row>
    <row r="23" spans="1:14" x14ac:dyDescent="0.25">
      <c r="A23" s="84"/>
      <c r="B23" t="s">
        <v>141</v>
      </c>
      <c r="C23" s="78">
        <v>9</v>
      </c>
      <c r="D23" s="78">
        <v>10</v>
      </c>
      <c r="E23" s="78">
        <v>832</v>
      </c>
      <c r="F23" s="78">
        <v>916</v>
      </c>
      <c r="G23" s="78">
        <v>936</v>
      </c>
      <c r="H23" s="78">
        <v>1021</v>
      </c>
      <c r="I23" s="78">
        <v>1194</v>
      </c>
      <c r="J23" s="78">
        <v>1212</v>
      </c>
      <c r="K23" s="78">
        <v>1242</v>
      </c>
      <c r="L23" s="78">
        <v>1238</v>
      </c>
      <c r="M23" s="78">
        <v>1293</v>
      </c>
      <c r="N23" s="78">
        <v>1529</v>
      </c>
    </row>
    <row r="24" spans="1:14" x14ac:dyDescent="0.25">
      <c r="A24" s="84"/>
      <c r="B24" t="s">
        <v>142</v>
      </c>
      <c r="C24" s="78">
        <v>10</v>
      </c>
      <c r="D24" s="78">
        <v>11</v>
      </c>
      <c r="E24" s="78">
        <v>15</v>
      </c>
      <c r="F24" s="78">
        <v>18</v>
      </c>
      <c r="G24" s="78">
        <v>20</v>
      </c>
      <c r="H24" s="78">
        <v>17</v>
      </c>
      <c r="I24" s="78">
        <v>23</v>
      </c>
      <c r="J24" s="78">
        <v>25</v>
      </c>
      <c r="K24" s="78">
        <v>28</v>
      </c>
      <c r="L24" s="78">
        <v>33</v>
      </c>
      <c r="M24" s="78">
        <v>41</v>
      </c>
      <c r="N24" s="78">
        <v>65</v>
      </c>
    </row>
    <row r="25" spans="1:14" x14ac:dyDescent="0.25">
      <c r="A25" s="84"/>
      <c r="B25" t="s">
        <v>143</v>
      </c>
      <c r="C25" s="78">
        <v>11</v>
      </c>
      <c r="D25" s="78">
        <v>10</v>
      </c>
      <c r="E25" s="78">
        <v>14</v>
      </c>
      <c r="F25" s="78">
        <v>16</v>
      </c>
      <c r="G25" s="78">
        <v>17</v>
      </c>
      <c r="H25" s="78">
        <v>20</v>
      </c>
      <c r="I25" s="78">
        <v>25</v>
      </c>
      <c r="J25" s="78">
        <v>26</v>
      </c>
      <c r="K25" s="78">
        <v>29</v>
      </c>
      <c r="L25" s="78">
        <v>29</v>
      </c>
      <c r="M25" s="78">
        <v>41</v>
      </c>
      <c r="N25" s="78">
        <v>69</v>
      </c>
    </row>
    <row r="26" spans="1:14" x14ac:dyDescent="0.25">
      <c r="A26" s="84"/>
      <c r="B26" t="s">
        <v>144</v>
      </c>
      <c r="C26" s="78">
        <v>119</v>
      </c>
      <c r="D26" s="78">
        <v>121</v>
      </c>
      <c r="E26" s="78">
        <v>132</v>
      </c>
      <c r="F26" s="78">
        <v>169</v>
      </c>
      <c r="G26" s="78">
        <v>173</v>
      </c>
      <c r="H26" s="78">
        <v>652</v>
      </c>
      <c r="I26" s="78">
        <v>742</v>
      </c>
      <c r="J26" s="78">
        <v>622</v>
      </c>
      <c r="K26" s="78">
        <v>690</v>
      </c>
      <c r="L26" s="78">
        <v>795</v>
      </c>
      <c r="M26" s="78">
        <v>1086</v>
      </c>
      <c r="N26" s="78">
        <v>1500</v>
      </c>
    </row>
    <row r="27" spans="1:14" x14ac:dyDescent="0.25">
      <c r="A27" s="84"/>
      <c r="B27" t="s">
        <v>145</v>
      </c>
      <c r="C27" s="78">
        <v>10</v>
      </c>
      <c r="D27" s="78">
        <v>10</v>
      </c>
      <c r="E27" s="78">
        <v>435</v>
      </c>
      <c r="F27" s="78">
        <v>414</v>
      </c>
      <c r="G27" s="78">
        <v>497</v>
      </c>
      <c r="H27" s="78">
        <v>584</v>
      </c>
      <c r="I27" s="78">
        <v>644</v>
      </c>
      <c r="J27" s="78">
        <v>644</v>
      </c>
      <c r="K27" s="78">
        <v>644</v>
      </c>
      <c r="L27" s="78">
        <v>644</v>
      </c>
      <c r="M27" s="78">
        <v>644</v>
      </c>
      <c r="N27" s="78">
        <v>1532</v>
      </c>
    </row>
    <row r="28" spans="1:14" x14ac:dyDescent="0.25">
      <c r="A28" s="84"/>
      <c r="B28" t="s">
        <v>146</v>
      </c>
      <c r="C28" s="79">
        <v>891</v>
      </c>
      <c r="D28" s="79">
        <v>3174</v>
      </c>
      <c r="E28" s="79">
        <v>479</v>
      </c>
      <c r="F28" s="79">
        <v>563</v>
      </c>
      <c r="G28" s="79">
        <v>588</v>
      </c>
      <c r="H28" s="79">
        <v>30</v>
      </c>
      <c r="I28" s="79">
        <v>35</v>
      </c>
      <c r="J28" s="79">
        <v>32</v>
      </c>
      <c r="K28" s="79">
        <v>38</v>
      </c>
      <c r="L28" s="79">
        <v>35</v>
      </c>
      <c r="M28" s="79">
        <v>51</v>
      </c>
      <c r="N28" s="79">
        <v>200</v>
      </c>
    </row>
    <row r="29" spans="1:14" x14ac:dyDescent="0.25">
      <c r="A29" s="84"/>
      <c r="B29" s="30" t="s">
        <v>147</v>
      </c>
      <c r="C29" s="80">
        <v>3030</v>
      </c>
      <c r="D29" s="80">
        <v>5380</v>
      </c>
      <c r="E29" s="80">
        <v>4632</v>
      </c>
      <c r="F29" s="80">
        <v>5159</v>
      </c>
      <c r="G29" s="80">
        <v>5635</v>
      </c>
      <c r="H29" s="80">
        <v>6172</v>
      </c>
      <c r="I29" s="80">
        <v>8745</v>
      </c>
      <c r="J29" s="80">
        <v>9033</v>
      </c>
      <c r="K29" s="80">
        <v>9410</v>
      </c>
      <c r="L29" s="80">
        <v>10441</v>
      </c>
      <c r="M29" s="80">
        <v>12445</v>
      </c>
      <c r="N29" s="80">
        <v>18802</v>
      </c>
    </row>
    <row r="30" spans="1:14" x14ac:dyDescent="0.25">
      <c r="A30" s="84"/>
      <c r="B30" s="30" t="s">
        <v>148</v>
      </c>
      <c r="C30" s="81">
        <v>655</v>
      </c>
      <c r="D30" s="81">
        <v>3026</v>
      </c>
      <c r="E30" s="81">
        <v>1137</v>
      </c>
      <c r="F30" s="81">
        <v>1443</v>
      </c>
      <c r="G30" s="81">
        <v>1654</v>
      </c>
      <c r="H30" s="81">
        <v>1785</v>
      </c>
      <c r="I30" s="81">
        <v>2265</v>
      </c>
      <c r="J30" s="81">
        <v>2624</v>
      </c>
      <c r="K30" s="81">
        <v>3099</v>
      </c>
      <c r="L30" s="81">
        <v>3509</v>
      </c>
      <c r="M30" s="81">
        <v>4036</v>
      </c>
      <c r="N30" s="81">
        <v>5400</v>
      </c>
    </row>
    <row r="31" spans="1:14" x14ac:dyDescent="0.25">
      <c r="A31" s="84"/>
      <c r="B31" s="3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</row>
    <row r="32" spans="1:14" x14ac:dyDescent="0.25">
      <c r="A32" s="84"/>
      <c r="B32" s="30" t="s">
        <v>149</v>
      </c>
      <c r="C32">
        <v>27</v>
      </c>
      <c r="D32">
        <v>25</v>
      </c>
      <c r="E32">
        <v>38</v>
      </c>
      <c r="F32">
        <v>96</v>
      </c>
      <c r="G32">
        <v>145</v>
      </c>
      <c r="H32">
        <v>352</v>
      </c>
      <c r="I32">
        <v>64</v>
      </c>
      <c r="J32">
        <v>67</v>
      </c>
      <c r="K32">
        <v>497</v>
      </c>
      <c r="L32">
        <v>607</v>
      </c>
      <c r="M32" s="41">
        <v>1922</v>
      </c>
      <c r="N32" s="41">
        <v>1167</v>
      </c>
    </row>
    <row r="33" spans="1:14" x14ac:dyDescent="0.25">
      <c r="A33" s="84"/>
      <c r="B33" s="30" t="s">
        <v>38</v>
      </c>
      <c r="C33">
        <v>1</v>
      </c>
      <c r="D33">
        <v>304</v>
      </c>
      <c r="E33">
        <v>3</v>
      </c>
      <c r="F33">
        <v>7</v>
      </c>
      <c r="G33">
        <v>8</v>
      </c>
      <c r="H33">
        <v>11</v>
      </c>
      <c r="I33">
        <v>0</v>
      </c>
      <c r="J33">
        <v>0</v>
      </c>
      <c r="K33">
        <v>0</v>
      </c>
      <c r="L33">
        <v>0</v>
      </c>
      <c r="M33">
        <v>21</v>
      </c>
      <c r="N33">
        <v>60</v>
      </c>
    </row>
    <row r="34" spans="1:14" x14ac:dyDescent="0.25">
      <c r="A34" s="84"/>
      <c r="B34" s="30"/>
    </row>
    <row r="35" spans="1:14" x14ac:dyDescent="0.25">
      <c r="A35" s="84"/>
      <c r="B35" s="30" t="s">
        <v>150</v>
      </c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5">
      <c r="A36" s="84"/>
      <c r="B36" t="s">
        <v>151</v>
      </c>
      <c r="C36" s="80">
        <v>246</v>
      </c>
      <c r="D36" s="80">
        <v>289</v>
      </c>
      <c r="E36" s="80">
        <v>425</v>
      </c>
      <c r="F36" s="80">
        <v>490</v>
      </c>
      <c r="G36" s="80">
        <v>439</v>
      </c>
      <c r="H36" s="80">
        <v>578</v>
      </c>
      <c r="I36" s="80">
        <v>882</v>
      </c>
      <c r="J36" s="80">
        <v>929</v>
      </c>
      <c r="K36" s="80">
        <v>1448</v>
      </c>
      <c r="L36" s="80">
        <v>1994</v>
      </c>
      <c r="M36" s="80">
        <v>2151</v>
      </c>
      <c r="N36" s="80">
        <v>2791</v>
      </c>
    </row>
    <row r="37" spans="1:14" x14ac:dyDescent="0.25">
      <c r="A37" s="84"/>
      <c r="B37" s="30" t="s">
        <v>152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</row>
    <row r="38" spans="1:14" x14ac:dyDescent="0.25">
      <c r="A38" s="84"/>
      <c r="B38" t="s">
        <v>153</v>
      </c>
      <c r="C38" s="78">
        <v>25</v>
      </c>
      <c r="D38" s="78">
        <v>36</v>
      </c>
      <c r="E38" s="78">
        <v>50</v>
      </c>
      <c r="F38" s="78">
        <v>0</v>
      </c>
      <c r="G38" s="78">
        <v>0</v>
      </c>
      <c r="H38" s="78">
        <v>0</v>
      </c>
      <c r="I38" s="78">
        <v>0</v>
      </c>
      <c r="J38" s="78">
        <v>0</v>
      </c>
      <c r="K38" s="78">
        <v>59</v>
      </c>
      <c r="L38" s="78">
        <v>0</v>
      </c>
      <c r="M38" s="78">
        <v>57</v>
      </c>
      <c r="N38" s="78">
        <v>87</v>
      </c>
    </row>
    <row r="39" spans="1:14" x14ac:dyDescent="0.25">
      <c r="A39" s="84"/>
      <c r="B39" t="s">
        <v>154</v>
      </c>
      <c r="C39" s="78">
        <v>50</v>
      </c>
      <c r="D39" s="78">
        <v>76</v>
      </c>
      <c r="E39" s="78">
        <v>65</v>
      </c>
      <c r="F39" s="78">
        <v>157</v>
      </c>
      <c r="G39" s="78">
        <v>180</v>
      </c>
      <c r="H39" s="78">
        <v>163</v>
      </c>
      <c r="I39" s="78">
        <v>212</v>
      </c>
      <c r="J39" s="78">
        <v>285</v>
      </c>
      <c r="K39" s="78">
        <v>212</v>
      </c>
      <c r="L39" s="78">
        <v>353</v>
      </c>
      <c r="M39" s="78">
        <v>361</v>
      </c>
      <c r="N39" s="78">
        <v>866</v>
      </c>
    </row>
    <row r="40" spans="1:14" x14ac:dyDescent="0.25">
      <c r="A40" s="84"/>
      <c r="B40" t="s">
        <v>155</v>
      </c>
      <c r="C40" s="80">
        <v>-10</v>
      </c>
      <c r="D40" s="80">
        <v>-15</v>
      </c>
      <c r="E40" s="80">
        <v>-17</v>
      </c>
      <c r="F40" s="80">
        <v>-25</v>
      </c>
      <c r="G40" s="80">
        <v>-30</v>
      </c>
      <c r="H40" s="80">
        <v>-35</v>
      </c>
      <c r="I40" s="80">
        <v>-39</v>
      </c>
      <c r="J40" s="80">
        <v>-44</v>
      </c>
      <c r="K40" s="80">
        <v>-50</v>
      </c>
      <c r="L40" s="80">
        <v>-54</v>
      </c>
      <c r="M40" s="80">
        <v>-59</v>
      </c>
      <c r="N40" s="80">
        <v>-108</v>
      </c>
    </row>
    <row r="41" spans="1:14" x14ac:dyDescent="0.25">
      <c r="A41" s="84"/>
      <c r="B41" t="s">
        <v>156</v>
      </c>
      <c r="C41" s="78">
        <v>51</v>
      </c>
      <c r="D41" s="78">
        <v>34</v>
      </c>
      <c r="E41" s="78">
        <v>58</v>
      </c>
      <c r="F41" s="78">
        <v>66</v>
      </c>
      <c r="G41" s="78">
        <v>94</v>
      </c>
      <c r="H41" s="78">
        <v>93</v>
      </c>
      <c r="I41" s="78">
        <v>171</v>
      </c>
      <c r="J41" s="78">
        <v>190</v>
      </c>
      <c r="K41" s="78">
        <v>337</v>
      </c>
      <c r="L41" s="78">
        <v>285</v>
      </c>
      <c r="M41" s="78">
        <v>460</v>
      </c>
      <c r="N41" s="78">
        <v>2450</v>
      </c>
    </row>
    <row r="42" spans="1:14" x14ac:dyDescent="0.25">
      <c r="A42" s="84"/>
      <c r="B42" t="s">
        <v>157</v>
      </c>
      <c r="C42" s="78">
        <v>97</v>
      </c>
      <c r="D42" s="78">
        <v>63</v>
      </c>
      <c r="E42" s="78">
        <v>57</v>
      </c>
      <c r="F42" s="78">
        <v>93</v>
      </c>
      <c r="G42" s="78">
        <v>89</v>
      </c>
      <c r="H42" s="78">
        <v>103</v>
      </c>
      <c r="I42" s="78">
        <v>128</v>
      </c>
      <c r="J42" s="78">
        <v>192</v>
      </c>
      <c r="K42" s="78">
        <v>187</v>
      </c>
      <c r="L42" s="78">
        <v>288</v>
      </c>
      <c r="M42" s="78">
        <v>253</v>
      </c>
      <c r="N42" s="78">
        <v>664</v>
      </c>
    </row>
    <row r="43" spans="1:14" x14ac:dyDescent="0.25">
      <c r="A43" s="84"/>
      <c r="B43" t="s">
        <v>158</v>
      </c>
      <c r="C43" s="78">
        <v>123</v>
      </c>
      <c r="D43" s="78">
        <v>125</v>
      </c>
      <c r="E43" s="78">
        <v>257</v>
      </c>
      <c r="F43" s="78">
        <v>227</v>
      </c>
      <c r="G43" s="78">
        <v>369</v>
      </c>
      <c r="H43" s="78">
        <v>345</v>
      </c>
      <c r="I43" s="78">
        <v>480</v>
      </c>
      <c r="J43" s="78">
        <v>420</v>
      </c>
      <c r="K43" s="78">
        <v>579</v>
      </c>
      <c r="L43" s="78">
        <v>1213</v>
      </c>
      <c r="M43" s="78">
        <v>1612</v>
      </c>
      <c r="N43" s="78">
        <v>1745</v>
      </c>
    </row>
    <row r="44" spans="1:14" x14ac:dyDescent="0.25">
      <c r="A44" s="84"/>
      <c r="B44" s="83" t="s">
        <v>118</v>
      </c>
      <c r="C44" s="82">
        <v>2986</v>
      </c>
      <c r="D44" s="82">
        <v>3292</v>
      </c>
      <c r="E44" s="82">
        <v>4431</v>
      </c>
      <c r="F44" s="82">
        <v>4824</v>
      </c>
      <c r="G44" s="82">
        <v>5276</v>
      </c>
      <c r="H44" s="82">
        <v>5998</v>
      </c>
      <c r="I44" s="82">
        <v>8376</v>
      </c>
      <c r="J44" s="82">
        <v>8447</v>
      </c>
      <c r="K44" s="82">
        <v>9579</v>
      </c>
      <c r="L44" s="82">
        <v>11618</v>
      </c>
      <c r="M44" s="82">
        <v>15187</v>
      </c>
      <c r="N44" s="82">
        <v>23124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workbookViewId="0">
      <selection activeCell="F3" sqref="F3"/>
    </sheetView>
  </sheetViews>
  <sheetFormatPr defaultRowHeight="15" x14ac:dyDescent="0.25"/>
  <cols>
    <col min="1" max="1" width="1.85546875" customWidth="1"/>
    <col min="2" max="2" width="5.7109375" style="174" customWidth="1"/>
    <col min="3" max="3" width="16.140625" bestFit="1" customWidth="1"/>
    <col min="4" max="4" width="8" style="73" customWidth="1"/>
    <col min="5" max="5" width="14.140625" style="73" bestFit="1" customWidth="1"/>
    <col min="6" max="6" width="10.7109375" style="73" bestFit="1" customWidth="1"/>
    <col min="7" max="7" width="9.140625" style="73" bestFit="1" customWidth="1"/>
  </cols>
  <sheetData>
    <row r="2" spans="2:7" x14ac:dyDescent="0.25">
      <c r="B2" s="174" t="s">
        <v>305</v>
      </c>
      <c r="C2" t="s">
        <v>306</v>
      </c>
      <c r="D2" s="73" t="s">
        <v>307</v>
      </c>
      <c r="E2" s="73" t="s">
        <v>310</v>
      </c>
      <c r="F2" s="73" t="s">
        <v>308</v>
      </c>
      <c r="G2" s="73" t="s">
        <v>309</v>
      </c>
    </row>
    <row r="3" spans="2:7" x14ac:dyDescent="0.25">
      <c r="B3" s="174">
        <v>1</v>
      </c>
      <c r="C3" t="s">
        <v>311</v>
      </c>
      <c r="D3" s="73">
        <v>452.25</v>
      </c>
      <c r="E3" s="73">
        <v>152947.19</v>
      </c>
      <c r="F3" s="73">
        <v>2826.25</v>
      </c>
      <c r="G3" s="73">
        <v>0.17</v>
      </c>
    </row>
    <row r="4" spans="2:7" x14ac:dyDescent="0.25">
      <c r="B4" s="174">
        <v>2</v>
      </c>
      <c r="C4" t="s">
        <v>312</v>
      </c>
      <c r="D4" s="73">
        <v>1076.8</v>
      </c>
      <c r="E4" s="73">
        <v>106655.84</v>
      </c>
      <c r="F4" s="73">
        <v>2392.6799999999998</v>
      </c>
      <c r="G4" s="73">
        <v>0.12</v>
      </c>
    </row>
    <row r="5" spans="2:7" x14ac:dyDescent="0.25">
      <c r="B5" s="174">
        <v>3</v>
      </c>
      <c r="C5" t="s">
        <v>281</v>
      </c>
      <c r="D5" s="73">
        <v>2403.5</v>
      </c>
      <c r="E5" s="73">
        <v>231768.95</v>
      </c>
      <c r="F5" s="73">
        <v>1166.8499999999999</v>
      </c>
      <c r="G5" s="73">
        <v>0.28000000000000003</v>
      </c>
    </row>
    <row r="6" spans="2:7" x14ac:dyDescent="0.25">
      <c r="B6" s="174">
        <v>4</v>
      </c>
      <c r="C6" t="s">
        <v>313</v>
      </c>
      <c r="D6" s="73">
        <v>947.75</v>
      </c>
      <c r="E6" s="73">
        <v>21149.66</v>
      </c>
      <c r="F6" s="73">
        <v>2566.2600000000002</v>
      </c>
      <c r="G6" s="73">
        <v>1.49</v>
      </c>
    </row>
    <row r="7" spans="2:7" x14ac:dyDescent="0.25">
      <c r="B7" s="174">
        <v>5</v>
      </c>
      <c r="C7" t="s">
        <v>314</v>
      </c>
      <c r="D7" s="73">
        <v>476.45</v>
      </c>
      <c r="E7" s="73">
        <v>4417.22</v>
      </c>
      <c r="F7" s="73">
        <v>174.7</v>
      </c>
      <c r="G7" s="73">
        <v>0.18</v>
      </c>
    </row>
    <row r="8" spans="2:7" x14ac:dyDescent="0.25">
      <c r="B8" s="174">
        <v>6</v>
      </c>
      <c r="C8" t="s">
        <v>282</v>
      </c>
      <c r="D8" s="73">
        <v>530.85</v>
      </c>
      <c r="E8" s="73">
        <v>94165.35</v>
      </c>
      <c r="F8" s="73">
        <v>950.37</v>
      </c>
      <c r="G8" s="73">
        <v>0.09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3"/>
  <sheetViews>
    <sheetView showGridLines="0" workbookViewId="0">
      <selection activeCell="I4" sqref="I4"/>
    </sheetView>
  </sheetViews>
  <sheetFormatPr defaultRowHeight="15" x14ac:dyDescent="0.25"/>
  <cols>
    <col min="2" max="2" width="28" bestFit="1" customWidth="1"/>
    <col min="3" max="3" width="11.140625" bestFit="1" customWidth="1"/>
    <col min="7" max="7" width="28" bestFit="1" customWidth="1"/>
    <col min="8" max="8" width="11.140625" bestFit="1" customWidth="1"/>
    <col min="10" max="10" width="17.7109375" bestFit="1" customWidth="1"/>
    <col min="14" max="14" width="17.7109375" bestFit="1" customWidth="1"/>
    <col min="17" max="17" width="17.7109375" bestFit="1" customWidth="1"/>
    <col min="20" max="20" width="14.42578125" customWidth="1"/>
    <col min="23" max="23" width="15.28515625" customWidth="1"/>
    <col min="26" max="26" width="15" customWidth="1"/>
    <col min="29" max="29" width="15.28515625" customWidth="1"/>
  </cols>
  <sheetData>
    <row r="1" spans="2:30" x14ac:dyDescent="0.25">
      <c r="B1" t="s">
        <v>301</v>
      </c>
      <c r="G1" t="s">
        <v>302</v>
      </c>
      <c r="J1" s="178" t="s">
        <v>303</v>
      </c>
      <c r="N1" t="s">
        <v>304</v>
      </c>
    </row>
    <row r="2" spans="2:30" x14ac:dyDescent="0.25">
      <c r="B2" s="180" t="s">
        <v>284</v>
      </c>
      <c r="C2" s="181" t="s">
        <v>288</v>
      </c>
      <c r="G2" s="180" t="s">
        <v>284</v>
      </c>
      <c r="H2" s="181" t="s">
        <v>288</v>
      </c>
      <c r="Q2" s="178"/>
    </row>
    <row r="3" spans="2:30" x14ac:dyDescent="0.25">
      <c r="B3" s="183">
        <v>45849</v>
      </c>
      <c r="C3" s="184">
        <v>452.25</v>
      </c>
      <c r="G3" s="183">
        <v>45849</v>
      </c>
      <c r="H3" s="185">
        <v>25149.85</v>
      </c>
      <c r="AC3" s="178"/>
    </row>
    <row r="4" spans="2:30" x14ac:dyDescent="0.25">
      <c r="B4" s="183">
        <v>45839</v>
      </c>
      <c r="C4" s="184">
        <v>459.75</v>
      </c>
      <c r="G4" s="183">
        <v>45839</v>
      </c>
      <c r="H4" s="185">
        <v>25355.25</v>
      </c>
    </row>
    <row r="5" spans="2:30" x14ac:dyDescent="0.25">
      <c r="B5" s="183">
        <v>45809</v>
      </c>
      <c r="C5" s="184">
        <v>457.55</v>
      </c>
      <c r="G5" s="183">
        <v>45809</v>
      </c>
      <c r="H5" s="185">
        <v>25517.05</v>
      </c>
      <c r="J5" s="179"/>
    </row>
    <row r="6" spans="2:30" x14ac:dyDescent="0.25">
      <c r="B6" s="183">
        <v>45778</v>
      </c>
      <c r="C6" s="184">
        <v>475.44</v>
      </c>
      <c r="G6" s="183">
        <v>45778</v>
      </c>
      <c r="H6" s="185">
        <v>24750.7</v>
      </c>
      <c r="J6" s="179"/>
      <c r="Q6" s="179"/>
    </row>
    <row r="7" spans="2:30" x14ac:dyDescent="0.25">
      <c r="B7" s="183">
        <v>45748</v>
      </c>
      <c r="C7" s="184">
        <v>520.02</v>
      </c>
      <c r="G7" s="183">
        <v>45748</v>
      </c>
      <c r="H7" s="185">
        <v>24334.2</v>
      </c>
      <c r="J7" s="179"/>
      <c r="Q7" s="179"/>
      <c r="Z7" s="179"/>
      <c r="AC7" s="179"/>
    </row>
    <row r="8" spans="2:30" ht="15" customHeight="1" x14ac:dyDescent="0.25">
      <c r="B8" s="183">
        <v>45717</v>
      </c>
      <c r="C8" s="184">
        <v>538.58000000000004</v>
      </c>
      <c r="G8" s="183">
        <v>45717</v>
      </c>
      <c r="H8" s="185">
        <v>23519.35</v>
      </c>
      <c r="J8" s="179"/>
      <c r="N8" s="179"/>
      <c r="Q8" s="179"/>
      <c r="T8" t="s">
        <v>299</v>
      </c>
      <c r="W8" t="s">
        <v>298</v>
      </c>
      <c r="Z8" s="179" t="s">
        <v>297</v>
      </c>
      <c r="AC8" s="179" t="s">
        <v>300</v>
      </c>
    </row>
    <row r="9" spans="2:30" x14ac:dyDescent="0.25">
      <c r="B9" s="183">
        <v>45689</v>
      </c>
      <c r="C9" s="184">
        <v>434.63</v>
      </c>
      <c r="G9" s="183">
        <v>45689</v>
      </c>
      <c r="H9" s="185">
        <v>22124.7</v>
      </c>
      <c r="J9" s="180" t="s">
        <v>284</v>
      </c>
      <c r="K9" s="181" t="s">
        <v>293</v>
      </c>
      <c r="N9" s="179"/>
      <c r="Q9" s="179"/>
      <c r="T9" s="191" t="s">
        <v>284</v>
      </c>
      <c r="U9" s="192" t="s">
        <v>293</v>
      </c>
      <c r="W9" s="180" t="s">
        <v>284</v>
      </c>
      <c r="X9" s="181" t="s">
        <v>293</v>
      </c>
      <c r="Z9" s="180" t="s">
        <v>284</v>
      </c>
      <c r="AA9" s="181" t="s">
        <v>293</v>
      </c>
      <c r="AC9" s="180" t="s">
        <v>284</v>
      </c>
      <c r="AD9" s="181" t="s">
        <v>293</v>
      </c>
    </row>
    <row r="10" spans="2:30" x14ac:dyDescent="0.25">
      <c r="B10" s="183">
        <v>45658</v>
      </c>
      <c r="C10" s="184">
        <v>535.69000000000005</v>
      </c>
      <c r="G10" s="183">
        <v>45658</v>
      </c>
      <c r="H10" s="185">
        <v>23508.400000000001</v>
      </c>
      <c r="J10" s="183">
        <v>45849</v>
      </c>
      <c r="K10" s="185">
        <v>2519.6</v>
      </c>
      <c r="N10" s="179"/>
      <c r="Q10" s="180" t="s">
        <v>284</v>
      </c>
      <c r="R10" s="181" t="s">
        <v>293</v>
      </c>
      <c r="T10" s="182">
        <v>45849</v>
      </c>
      <c r="U10" s="73">
        <v>475.95</v>
      </c>
      <c r="W10" s="183">
        <v>45849</v>
      </c>
      <c r="X10" s="184">
        <v>531.45000000000005</v>
      </c>
      <c r="Z10" s="183">
        <v>45849</v>
      </c>
      <c r="AA10" s="184">
        <v>946.85</v>
      </c>
      <c r="AC10" s="183">
        <v>45849</v>
      </c>
      <c r="AD10" s="185">
        <v>1076.9000000000001</v>
      </c>
    </row>
    <row r="11" spans="2:30" x14ac:dyDescent="0.25">
      <c r="B11" s="183">
        <v>45627</v>
      </c>
      <c r="C11" s="184">
        <v>637.24</v>
      </c>
      <c r="G11" s="183">
        <v>45627</v>
      </c>
      <c r="H11" s="185">
        <v>23644.799999999999</v>
      </c>
      <c r="J11" s="183">
        <v>45839</v>
      </c>
      <c r="K11" s="185">
        <v>2408.4</v>
      </c>
      <c r="N11" s="179"/>
      <c r="Q11" s="183">
        <v>45849</v>
      </c>
      <c r="R11" s="185">
        <v>5758.5</v>
      </c>
      <c r="T11" s="182">
        <v>45839</v>
      </c>
      <c r="U11" s="73">
        <v>491.6</v>
      </c>
      <c r="W11" s="183">
        <v>45839</v>
      </c>
      <c r="X11" s="184">
        <v>522.35</v>
      </c>
      <c r="Z11" s="183">
        <v>45839</v>
      </c>
      <c r="AA11" s="184">
        <v>954.85</v>
      </c>
      <c r="AC11" s="183">
        <v>45839</v>
      </c>
      <c r="AD11" s="185">
        <v>1087.8499999999999</v>
      </c>
    </row>
    <row r="12" spans="2:30" x14ac:dyDescent="0.25">
      <c r="B12" s="183">
        <v>45597</v>
      </c>
      <c r="C12" s="184">
        <v>619.83000000000004</v>
      </c>
      <c r="G12" s="183">
        <v>45597</v>
      </c>
      <c r="H12" s="185">
        <v>24131.1</v>
      </c>
      <c r="J12" s="183">
        <v>45809</v>
      </c>
      <c r="K12" s="185">
        <v>2270.7199999999998</v>
      </c>
      <c r="N12" s="180" t="s">
        <v>284</v>
      </c>
      <c r="O12" s="181" t="s">
        <v>293</v>
      </c>
      <c r="Q12" s="183">
        <v>45839</v>
      </c>
      <c r="R12" s="185">
        <v>5878</v>
      </c>
      <c r="T12" s="182">
        <v>45809</v>
      </c>
      <c r="U12" s="73">
        <v>497.25</v>
      </c>
      <c r="W12" s="183">
        <v>45809</v>
      </c>
      <c r="X12" s="184">
        <v>485.1</v>
      </c>
      <c r="Z12" s="183">
        <v>45809</v>
      </c>
      <c r="AA12" s="184">
        <v>957.45</v>
      </c>
      <c r="AC12" s="183">
        <v>45809</v>
      </c>
      <c r="AD12" s="185">
        <v>1099.2</v>
      </c>
    </row>
    <row r="13" spans="2:30" x14ac:dyDescent="0.25">
      <c r="B13" s="183">
        <v>45566</v>
      </c>
      <c r="C13" s="184">
        <v>597.02</v>
      </c>
      <c r="G13" s="183">
        <v>45566</v>
      </c>
      <c r="H13" s="185">
        <v>24205.35</v>
      </c>
      <c r="J13" s="183">
        <v>45778</v>
      </c>
      <c r="K13" s="185">
        <v>2323.86</v>
      </c>
      <c r="N13" s="183">
        <v>45849</v>
      </c>
      <c r="O13" s="184">
        <v>77.02</v>
      </c>
      <c r="Q13" s="183">
        <v>45809</v>
      </c>
      <c r="R13" s="185">
        <v>5851</v>
      </c>
      <c r="T13" s="182">
        <v>45778</v>
      </c>
      <c r="U13" s="73">
        <v>404.3</v>
      </c>
      <c r="W13" s="183">
        <v>45778</v>
      </c>
      <c r="X13" s="184">
        <v>484.15</v>
      </c>
      <c r="Z13" s="183">
        <v>45778</v>
      </c>
      <c r="AA13" s="184">
        <v>964.5</v>
      </c>
      <c r="AC13" s="183">
        <v>45778</v>
      </c>
      <c r="AD13" s="185">
        <v>1099.8499999999999</v>
      </c>
    </row>
    <row r="14" spans="2:30" x14ac:dyDescent="0.25">
      <c r="B14" s="183">
        <v>45536</v>
      </c>
      <c r="C14" s="184">
        <v>605.04999999999995</v>
      </c>
      <c r="G14" s="183">
        <v>45536</v>
      </c>
      <c r="H14" s="185">
        <v>25810.85</v>
      </c>
      <c r="J14" s="183">
        <v>45748</v>
      </c>
      <c r="K14" s="185">
        <v>2317.73</v>
      </c>
      <c r="N14" s="183">
        <v>45839</v>
      </c>
      <c r="O14" s="184">
        <v>77.88</v>
      </c>
      <c r="Q14" s="183">
        <v>45778</v>
      </c>
      <c r="R14" s="185">
        <v>5510.5</v>
      </c>
      <c r="T14" s="182">
        <v>45748</v>
      </c>
      <c r="U14" s="73">
        <v>390.45</v>
      </c>
      <c r="W14" s="183">
        <v>45748</v>
      </c>
      <c r="X14" s="184">
        <v>487.45</v>
      </c>
      <c r="Z14" s="183">
        <v>45748</v>
      </c>
      <c r="AA14" s="184">
        <v>903.95</v>
      </c>
      <c r="AC14" s="183">
        <v>45748</v>
      </c>
      <c r="AD14" s="185">
        <v>1155.49</v>
      </c>
    </row>
    <row r="15" spans="2:30" x14ac:dyDescent="0.25">
      <c r="B15" s="183">
        <v>45505</v>
      </c>
      <c r="C15" s="184">
        <v>597.99</v>
      </c>
      <c r="G15" s="183">
        <v>45505</v>
      </c>
      <c r="H15" s="185">
        <v>25235.9</v>
      </c>
      <c r="J15" s="183">
        <v>45717</v>
      </c>
      <c r="K15" s="185">
        <v>2235.34</v>
      </c>
      <c r="N15" s="183">
        <v>45809</v>
      </c>
      <c r="O15" s="184">
        <v>78.83</v>
      </c>
      <c r="Q15" s="183">
        <v>45748</v>
      </c>
      <c r="R15" s="185">
        <v>5438.9</v>
      </c>
      <c r="T15" s="182">
        <v>45717</v>
      </c>
      <c r="U15" s="73">
        <v>385.2</v>
      </c>
      <c r="W15" s="183">
        <v>45717</v>
      </c>
      <c r="X15" s="184">
        <v>506.55</v>
      </c>
      <c r="Z15" s="183">
        <v>45717</v>
      </c>
      <c r="AA15" s="184">
        <v>964.7</v>
      </c>
      <c r="AC15" s="183">
        <v>45717</v>
      </c>
      <c r="AD15" s="184">
        <v>994.38</v>
      </c>
    </row>
    <row r="16" spans="2:30" x14ac:dyDescent="0.25">
      <c r="B16" s="183">
        <v>45474</v>
      </c>
      <c r="C16" s="184">
        <v>628.55999999999995</v>
      </c>
      <c r="G16" s="183">
        <v>45474</v>
      </c>
      <c r="H16" s="185">
        <v>24951.15</v>
      </c>
      <c r="J16" s="183">
        <v>45689</v>
      </c>
      <c r="K16" s="185">
        <v>2167.46</v>
      </c>
      <c r="N16" s="183">
        <v>45778</v>
      </c>
      <c r="O16" s="184">
        <v>87.7</v>
      </c>
      <c r="Q16" s="183">
        <v>45717</v>
      </c>
      <c r="R16" s="185">
        <v>4936.8999999999996</v>
      </c>
      <c r="T16" s="182">
        <v>45689</v>
      </c>
      <c r="U16" s="73">
        <v>361.5</v>
      </c>
      <c r="W16" s="183">
        <v>45689</v>
      </c>
      <c r="X16" s="184">
        <v>494.15</v>
      </c>
      <c r="Z16" s="183">
        <v>45689</v>
      </c>
      <c r="AA16" s="184">
        <v>967.45</v>
      </c>
      <c r="AC16" s="183">
        <v>45689</v>
      </c>
      <c r="AD16" s="184">
        <v>956.21</v>
      </c>
    </row>
    <row r="17" spans="2:30" x14ac:dyDescent="0.25">
      <c r="B17" s="183">
        <v>45444</v>
      </c>
      <c r="C17" s="184">
        <v>649.29999999999995</v>
      </c>
      <c r="G17" s="183">
        <v>45444</v>
      </c>
      <c r="H17" s="185">
        <v>24010.6</v>
      </c>
      <c r="J17" s="183">
        <v>45658</v>
      </c>
      <c r="K17" s="185">
        <v>2443.11</v>
      </c>
      <c r="N17" s="183">
        <v>45748</v>
      </c>
      <c r="O17" s="184">
        <v>84.7</v>
      </c>
      <c r="Q17" s="183">
        <v>45689</v>
      </c>
      <c r="R17" s="185">
        <v>4595.45</v>
      </c>
      <c r="T17" s="182">
        <v>45658</v>
      </c>
      <c r="U17" s="73">
        <v>434.3</v>
      </c>
      <c r="W17" s="183">
        <v>45658</v>
      </c>
      <c r="X17" s="184">
        <v>529.4</v>
      </c>
      <c r="Z17" s="183">
        <v>45658</v>
      </c>
      <c r="AA17" s="184">
        <v>941.6</v>
      </c>
      <c r="AC17" s="183">
        <v>45658</v>
      </c>
      <c r="AD17" s="185">
        <v>1017.06</v>
      </c>
    </row>
    <row r="18" spans="2:30" x14ac:dyDescent="0.25">
      <c r="B18" s="183">
        <v>45413</v>
      </c>
      <c r="C18" s="184">
        <v>567.95000000000005</v>
      </c>
      <c r="G18" s="183">
        <v>45413</v>
      </c>
      <c r="H18" s="185">
        <v>22530.7</v>
      </c>
      <c r="J18" s="183">
        <v>45627</v>
      </c>
      <c r="K18" s="185">
        <v>2302.64</v>
      </c>
      <c r="N18" s="183">
        <v>45717</v>
      </c>
      <c r="O18" s="184">
        <v>86.24</v>
      </c>
      <c r="Q18" s="183">
        <v>45658</v>
      </c>
      <c r="R18" s="185">
        <v>5129.6499999999996</v>
      </c>
      <c r="T18" s="182">
        <v>45627</v>
      </c>
      <c r="U18" s="73">
        <v>485</v>
      </c>
      <c r="W18" s="183">
        <v>45627</v>
      </c>
      <c r="X18" s="184">
        <v>506.85</v>
      </c>
      <c r="Z18" s="183">
        <v>45627</v>
      </c>
      <c r="AA18" s="185">
        <v>1003.8</v>
      </c>
      <c r="AC18" s="183">
        <v>45627</v>
      </c>
      <c r="AD18" s="184">
        <v>907.62</v>
      </c>
    </row>
    <row r="19" spans="2:30" x14ac:dyDescent="0.25">
      <c r="B19" s="183">
        <v>45383</v>
      </c>
      <c r="C19" s="184">
        <v>587.99</v>
      </c>
      <c r="G19" s="183">
        <v>45383</v>
      </c>
      <c r="H19" s="185">
        <v>22604.85</v>
      </c>
      <c r="J19" s="183">
        <v>45597</v>
      </c>
      <c r="K19" s="185">
        <v>2451.56</v>
      </c>
      <c r="N19" s="183">
        <v>45689</v>
      </c>
      <c r="O19" s="184">
        <v>84.1</v>
      </c>
      <c r="Q19" s="183">
        <v>45627</v>
      </c>
      <c r="R19" s="185">
        <v>4762.75</v>
      </c>
      <c r="T19" s="182">
        <v>45597</v>
      </c>
      <c r="U19" s="73">
        <v>489.35</v>
      </c>
      <c r="W19" s="183">
        <v>45597</v>
      </c>
      <c r="X19" s="184">
        <v>524.34</v>
      </c>
      <c r="Z19" s="183">
        <v>45597</v>
      </c>
      <c r="AA19" s="185">
        <v>1074.75</v>
      </c>
      <c r="AC19" s="183">
        <v>45597</v>
      </c>
      <c r="AD19" s="184">
        <v>951.5</v>
      </c>
    </row>
    <row r="20" spans="2:30" x14ac:dyDescent="0.25">
      <c r="B20" s="183">
        <v>45352</v>
      </c>
      <c r="C20" s="184">
        <v>554.59</v>
      </c>
      <c r="G20" s="183">
        <v>45352</v>
      </c>
      <c r="H20" s="185">
        <v>22326.9</v>
      </c>
      <c r="J20" s="183">
        <v>45566</v>
      </c>
      <c r="K20" s="185">
        <v>2483.09</v>
      </c>
      <c r="N20" s="183">
        <v>45658</v>
      </c>
      <c r="O20" s="184">
        <v>74.790000000000006</v>
      </c>
      <c r="Q20" s="183">
        <v>45597</v>
      </c>
      <c r="R20" s="185">
        <v>4941.1499999999996</v>
      </c>
      <c r="T20" s="182">
        <v>45566</v>
      </c>
      <c r="U20" s="73">
        <v>526.35</v>
      </c>
      <c r="W20" s="183">
        <v>45566</v>
      </c>
      <c r="X20" s="184">
        <v>537.16999999999996</v>
      </c>
      <c r="Z20" s="183">
        <v>45566</v>
      </c>
      <c r="AA20" s="185">
        <v>1085.3499999999999</v>
      </c>
      <c r="AC20" s="183">
        <v>45566</v>
      </c>
      <c r="AD20" s="184">
        <v>995.17</v>
      </c>
    </row>
    <row r="21" spans="2:30" x14ac:dyDescent="0.25">
      <c r="B21" s="183">
        <v>45323</v>
      </c>
      <c r="C21" s="184">
        <v>558.76</v>
      </c>
      <c r="G21" s="183">
        <v>45323</v>
      </c>
      <c r="H21" s="185">
        <v>21982.799999999999</v>
      </c>
      <c r="J21" s="183">
        <v>45536</v>
      </c>
      <c r="K21" s="185">
        <v>2905.45</v>
      </c>
      <c r="N21" s="183">
        <v>45627</v>
      </c>
      <c r="O21" s="184">
        <v>72.28</v>
      </c>
      <c r="Q21" s="183">
        <v>45566</v>
      </c>
      <c r="R21" s="185">
        <v>5726.9</v>
      </c>
      <c r="T21" s="182">
        <v>45536</v>
      </c>
      <c r="U21" s="73">
        <v>630.79999999999995</v>
      </c>
      <c r="W21" s="183">
        <v>45536</v>
      </c>
      <c r="X21" s="184">
        <v>622.13</v>
      </c>
      <c r="Z21" s="183">
        <v>45536</v>
      </c>
      <c r="AA21" s="185">
        <v>1187.6500000000001</v>
      </c>
      <c r="AC21" s="183">
        <v>45536</v>
      </c>
      <c r="AD21" s="185">
        <v>1187.8499999999999</v>
      </c>
    </row>
    <row r="22" spans="2:30" x14ac:dyDescent="0.25">
      <c r="B22" s="183">
        <v>45292</v>
      </c>
      <c r="C22" s="184">
        <v>507.79</v>
      </c>
      <c r="G22" s="183">
        <v>45292</v>
      </c>
      <c r="H22" s="185">
        <v>21725.7</v>
      </c>
      <c r="J22" s="183">
        <v>45505</v>
      </c>
      <c r="K22" s="185">
        <v>2728.37</v>
      </c>
      <c r="N22" s="183">
        <v>45597</v>
      </c>
      <c r="O22" s="184">
        <v>73.83</v>
      </c>
      <c r="Q22" s="183">
        <v>45536</v>
      </c>
      <c r="R22" s="185">
        <v>6338.15</v>
      </c>
      <c r="T22" s="182">
        <v>45505</v>
      </c>
      <c r="U22" s="73">
        <v>563.33000000000004</v>
      </c>
      <c r="W22" s="183">
        <v>45505</v>
      </c>
      <c r="X22" s="184">
        <v>634.02</v>
      </c>
      <c r="Z22" s="183">
        <v>45505</v>
      </c>
      <c r="AA22" s="185">
        <v>1309.7</v>
      </c>
      <c r="AC22" s="183">
        <v>45505</v>
      </c>
      <c r="AD22" s="185">
        <v>1190.3800000000001</v>
      </c>
    </row>
    <row r="23" spans="2:30" x14ac:dyDescent="0.25">
      <c r="B23" s="183">
        <v>45261</v>
      </c>
      <c r="C23" s="184">
        <v>490.51</v>
      </c>
      <c r="G23" s="183">
        <v>45261</v>
      </c>
      <c r="H23" s="185">
        <v>21731.4</v>
      </c>
      <c r="J23" s="183">
        <v>45474</v>
      </c>
      <c r="K23" s="185">
        <v>2657.32</v>
      </c>
      <c r="N23" s="183">
        <v>45566</v>
      </c>
      <c r="O23" s="184">
        <v>78.75</v>
      </c>
      <c r="Q23" s="183">
        <v>45505</v>
      </c>
      <c r="R23" s="185">
        <v>5780.02</v>
      </c>
      <c r="T23" s="182">
        <v>45474</v>
      </c>
      <c r="U23" s="73">
        <v>574.98</v>
      </c>
      <c r="W23" s="183">
        <v>45474</v>
      </c>
      <c r="X23" s="184">
        <v>629.38</v>
      </c>
      <c r="Z23" s="183">
        <v>45474</v>
      </c>
      <c r="AA23" s="185">
        <v>1223.5</v>
      </c>
      <c r="AC23" s="183">
        <v>45474</v>
      </c>
      <c r="AD23" s="185">
        <v>1179.81</v>
      </c>
    </row>
    <row r="24" spans="2:30" x14ac:dyDescent="0.25">
      <c r="B24" s="183">
        <v>45231</v>
      </c>
      <c r="C24" s="184">
        <v>438.47</v>
      </c>
      <c r="G24" s="183">
        <v>45231</v>
      </c>
      <c r="H24" s="185">
        <v>20133.150000000001</v>
      </c>
      <c r="J24" s="183">
        <v>45444</v>
      </c>
      <c r="K24" s="185">
        <v>2405.44</v>
      </c>
      <c r="N24" s="183">
        <v>45536</v>
      </c>
      <c r="O24" s="184">
        <v>82.01</v>
      </c>
      <c r="Q24" s="183">
        <v>45474</v>
      </c>
      <c r="R24" s="185">
        <v>5710.13</v>
      </c>
      <c r="T24" s="182">
        <v>45444</v>
      </c>
      <c r="U24" s="73">
        <v>557.85</v>
      </c>
      <c r="W24" s="183">
        <v>45444</v>
      </c>
      <c r="X24" s="184">
        <v>595.21</v>
      </c>
      <c r="Z24" s="183">
        <v>45444</v>
      </c>
      <c r="AA24" s="185">
        <v>1021.97</v>
      </c>
      <c r="AC24" s="183">
        <v>45444</v>
      </c>
      <c r="AD24" s="185">
        <v>1089.08</v>
      </c>
    </row>
    <row r="25" spans="2:30" x14ac:dyDescent="0.25">
      <c r="B25" s="183">
        <v>45200</v>
      </c>
      <c r="C25" s="184">
        <v>360.8</v>
      </c>
      <c r="G25" s="183">
        <v>45200</v>
      </c>
      <c r="H25" s="185">
        <v>19079.599999999999</v>
      </c>
      <c r="J25" s="183">
        <v>45413</v>
      </c>
      <c r="K25" s="185">
        <v>2265.37</v>
      </c>
      <c r="N25" s="183">
        <v>45505</v>
      </c>
      <c r="O25" s="184">
        <v>87.86</v>
      </c>
      <c r="Q25" s="183">
        <v>45444</v>
      </c>
      <c r="R25" s="185">
        <v>5405.2</v>
      </c>
      <c r="T25" s="182">
        <v>45413</v>
      </c>
      <c r="U25" s="73">
        <v>400.97</v>
      </c>
      <c r="W25" s="183">
        <v>45413</v>
      </c>
      <c r="X25" s="184">
        <v>540.91999999999996</v>
      </c>
      <c r="Z25" s="183">
        <v>45413</v>
      </c>
      <c r="AA25" s="185">
        <v>1000.33</v>
      </c>
      <c r="AC25" s="183">
        <v>45413</v>
      </c>
      <c r="AD25" s="185">
        <v>1044.22</v>
      </c>
    </row>
    <row r="26" spans="2:30" x14ac:dyDescent="0.25">
      <c r="B26" s="183">
        <v>45170</v>
      </c>
      <c r="C26" s="184">
        <v>375.3</v>
      </c>
      <c r="G26" s="183">
        <v>45170</v>
      </c>
      <c r="H26" s="185">
        <v>19638.3</v>
      </c>
      <c r="J26" s="183">
        <v>45383</v>
      </c>
      <c r="K26" s="185">
        <v>2169.4699999999998</v>
      </c>
      <c r="N26" s="183">
        <v>45474</v>
      </c>
      <c r="O26" s="184">
        <v>86.05</v>
      </c>
      <c r="Q26" s="183">
        <v>45413</v>
      </c>
      <c r="R26" s="185">
        <v>5113.25</v>
      </c>
      <c r="T26" s="182">
        <v>45383</v>
      </c>
      <c r="U26" s="73">
        <v>330.84</v>
      </c>
      <c r="W26" s="183">
        <v>45383</v>
      </c>
      <c r="X26" s="184">
        <v>502.78</v>
      </c>
      <c r="Z26" s="183">
        <v>45383</v>
      </c>
      <c r="AA26" s="185">
        <v>1095.45</v>
      </c>
      <c r="AC26" s="183">
        <v>45383</v>
      </c>
      <c r="AD26" s="185">
        <v>1092.07</v>
      </c>
    </row>
    <row r="27" spans="2:30" x14ac:dyDescent="0.25">
      <c r="B27" s="183">
        <v>45139</v>
      </c>
      <c r="C27" s="184">
        <v>354.31</v>
      </c>
      <c r="G27" s="183">
        <v>45139</v>
      </c>
      <c r="H27" s="185">
        <v>19253.8</v>
      </c>
      <c r="J27" s="183">
        <v>45352</v>
      </c>
      <c r="K27" s="185">
        <v>2202.44</v>
      </c>
      <c r="N27" s="183">
        <v>45444</v>
      </c>
      <c r="O27" s="184">
        <v>88.54</v>
      </c>
      <c r="Q27" s="183">
        <v>45383</v>
      </c>
      <c r="R27" s="185">
        <v>4714.58</v>
      </c>
      <c r="T27" s="182">
        <v>45352</v>
      </c>
      <c r="U27" s="73">
        <v>335.42</v>
      </c>
      <c r="W27" s="183">
        <v>45352</v>
      </c>
      <c r="X27" s="184">
        <v>518.24</v>
      </c>
      <c r="Z27" s="183">
        <v>45352</v>
      </c>
      <c r="AA27" s="185">
        <v>1002.96</v>
      </c>
      <c r="AC27" s="183">
        <v>45352</v>
      </c>
      <c r="AD27" s="185">
        <v>1079.8</v>
      </c>
    </row>
    <row r="28" spans="2:30" x14ac:dyDescent="0.25">
      <c r="B28" s="183">
        <v>45108</v>
      </c>
      <c r="C28" s="184">
        <v>316.73</v>
      </c>
      <c r="G28" s="183">
        <v>45108</v>
      </c>
      <c r="H28" s="185">
        <v>19753.8</v>
      </c>
      <c r="J28" s="183">
        <v>45323</v>
      </c>
      <c r="K28" s="185">
        <v>2346.35</v>
      </c>
      <c r="N28" s="183">
        <v>45413</v>
      </c>
      <c r="O28" s="184">
        <v>92.25</v>
      </c>
      <c r="Q28" s="183">
        <v>45352</v>
      </c>
      <c r="R28" s="185">
        <v>4848.1499999999996</v>
      </c>
      <c r="T28" s="182">
        <v>45323</v>
      </c>
      <c r="U28" s="73">
        <v>329.94</v>
      </c>
      <c r="W28" s="183">
        <v>45323</v>
      </c>
      <c r="X28" s="184">
        <v>533.19000000000005</v>
      </c>
      <c r="Z28" s="183">
        <v>45323</v>
      </c>
      <c r="AA28" s="185">
        <v>1121.27</v>
      </c>
      <c r="AC28" s="183">
        <v>45323</v>
      </c>
      <c r="AD28" s="185">
        <v>1174.3900000000001</v>
      </c>
    </row>
    <row r="29" spans="2:30" x14ac:dyDescent="0.25">
      <c r="B29" s="183">
        <v>45078</v>
      </c>
      <c r="C29" s="184">
        <v>315.23</v>
      </c>
      <c r="G29" s="183">
        <v>45078</v>
      </c>
      <c r="H29" s="185">
        <v>19189.05</v>
      </c>
      <c r="J29" s="183">
        <v>45292</v>
      </c>
      <c r="K29" s="185">
        <v>2413.6999999999998</v>
      </c>
      <c r="N29" s="183">
        <v>45383</v>
      </c>
      <c r="O29" s="184">
        <v>86.2</v>
      </c>
      <c r="Q29" s="183">
        <v>45323</v>
      </c>
      <c r="R29" s="185">
        <v>4901.3999999999996</v>
      </c>
      <c r="T29" s="182">
        <v>45292</v>
      </c>
      <c r="U29" s="73">
        <v>320.94</v>
      </c>
      <c r="W29" s="183">
        <v>45292</v>
      </c>
      <c r="X29" s="184">
        <v>532.65</v>
      </c>
      <c r="Z29" s="183">
        <v>45292</v>
      </c>
      <c r="AA29" s="185">
        <v>1134.95</v>
      </c>
      <c r="AC29" s="183">
        <v>45292</v>
      </c>
      <c r="AD29" s="185">
        <v>1101.49</v>
      </c>
    </row>
    <row r="30" spans="2:30" x14ac:dyDescent="0.25">
      <c r="B30" s="183">
        <v>45047</v>
      </c>
      <c r="C30" s="184">
        <v>333.45</v>
      </c>
      <c r="G30" s="183">
        <v>45047</v>
      </c>
      <c r="H30" s="185">
        <v>18534.400000000001</v>
      </c>
      <c r="J30" s="183">
        <v>45261</v>
      </c>
      <c r="K30" s="185">
        <v>2591.12</v>
      </c>
      <c r="N30" s="183">
        <v>45352</v>
      </c>
      <c r="O30" s="184">
        <v>89.52</v>
      </c>
      <c r="Q30" s="183">
        <v>45292</v>
      </c>
      <c r="R30" s="185">
        <v>5131.6099999999997</v>
      </c>
      <c r="T30" s="182">
        <v>45261</v>
      </c>
      <c r="U30" s="73">
        <v>302.32</v>
      </c>
      <c r="W30" s="183">
        <v>45261</v>
      </c>
      <c r="X30" s="184">
        <v>551.72</v>
      </c>
      <c r="Z30" s="183">
        <v>45261</v>
      </c>
      <c r="AA30" s="185">
        <v>1132.01</v>
      </c>
      <c r="AC30" s="183">
        <v>45261</v>
      </c>
      <c r="AD30" s="185">
        <v>1071.32</v>
      </c>
    </row>
    <row r="31" spans="2:30" x14ac:dyDescent="0.25">
      <c r="B31" s="183">
        <v>45017</v>
      </c>
      <c r="C31" s="184">
        <v>283.29000000000002</v>
      </c>
      <c r="G31" s="183">
        <v>45017</v>
      </c>
      <c r="H31" s="185">
        <v>18065</v>
      </c>
      <c r="J31" s="183">
        <v>45231</v>
      </c>
      <c r="K31" s="185">
        <v>2457.9299999999998</v>
      </c>
      <c r="N31" s="183">
        <v>45323</v>
      </c>
      <c r="O31" s="184">
        <v>85.79</v>
      </c>
      <c r="Q31" s="183">
        <v>45261</v>
      </c>
      <c r="R31" s="185">
        <v>5269.86</v>
      </c>
      <c r="T31" s="182">
        <v>45231</v>
      </c>
      <c r="U31" s="73">
        <v>237.02</v>
      </c>
      <c r="W31" s="183">
        <v>45231</v>
      </c>
      <c r="X31" s="184">
        <v>530.46</v>
      </c>
      <c r="Z31" s="183">
        <v>45231</v>
      </c>
      <c r="AA31" s="185">
        <v>1083.1600000000001</v>
      </c>
      <c r="AC31" s="183">
        <v>45231</v>
      </c>
      <c r="AD31" s="184">
        <v>927.65</v>
      </c>
    </row>
    <row r="32" spans="2:30" x14ac:dyDescent="0.25">
      <c r="B32" s="183">
        <v>44986</v>
      </c>
      <c r="C32" s="184">
        <v>272.2</v>
      </c>
      <c r="G32" s="183">
        <v>44986</v>
      </c>
      <c r="H32" s="185">
        <v>17359.75</v>
      </c>
      <c r="J32" s="183">
        <v>45200</v>
      </c>
      <c r="K32" s="185">
        <v>2398.5</v>
      </c>
      <c r="N32" s="183">
        <v>45292</v>
      </c>
      <c r="O32" s="184">
        <v>92.15</v>
      </c>
      <c r="Q32" s="183">
        <v>45231</v>
      </c>
      <c r="R32" s="185">
        <v>4790.3</v>
      </c>
      <c r="T32" s="182">
        <v>45200</v>
      </c>
      <c r="U32" s="73">
        <v>223.73</v>
      </c>
      <c r="W32" s="183">
        <v>45200</v>
      </c>
      <c r="X32" s="184">
        <v>521.15</v>
      </c>
      <c r="Z32" s="183">
        <v>45200</v>
      </c>
      <c r="AA32" s="185">
        <v>1120.07</v>
      </c>
      <c r="AC32" s="183">
        <v>45200</v>
      </c>
      <c r="AD32" s="184">
        <v>887.78</v>
      </c>
    </row>
    <row r="33" spans="2:30" x14ac:dyDescent="0.25">
      <c r="B33" s="183">
        <v>44958</v>
      </c>
      <c r="C33" s="184">
        <v>255.62</v>
      </c>
      <c r="G33" s="183">
        <v>44958</v>
      </c>
      <c r="H33" s="185">
        <v>17303.95</v>
      </c>
      <c r="J33" s="183">
        <v>45170</v>
      </c>
      <c r="K33" s="185">
        <v>2380.73</v>
      </c>
      <c r="N33" s="183">
        <v>45261</v>
      </c>
      <c r="O33" s="184">
        <v>91.16</v>
      </c>
      <c r="Q33" s="183">
        <v>45200</v>
      </c>
      <c r="R33" s="185">
        <v>4369.62</v>
      </c>
      <c r="T33" s="182">
        <v>45170</v>
      </c>
      <c r="U33" s="73">
        <v>230.4</v>
      </c>
      <c r="W33" s="183">
        <v>45170</v>
      </c>
      <c r="X33" s="184">
        <v>543.57000000000005</v>
      </c>
      <c r="Z33" s="183">
        <v>45170</v>
      </c>
      <c r="AA33" s="185">
        <v>1139.68</v>
      </c>
      <c r="AC33" s="183">
        <v>45170</v>
      </c>
      <c r="AD33" s="184">
        <v>864.27</v>
      </c>
    </row>
    <row r="34" spans="2:30" x14ac:dyDescent="0.25">
      <c r="B34" s="183">
        <v>44927</v>
      </c>
      <c r="C34" s="184">
        <v>225.22</v>
      </c>
      <c r="G34" s="183">
        <v>44927</v>
      </c>
      <c r="H34" s="185">
        <v>17662.150000000001</v>
      </c>
      <c r="J34" s="183">
        <v>45139</v>
      </c>
      <c r="K34" s="185">
        <v>2418.8200000000002</v>
      </c>
      <c r="N34" s="183">
        <v>45231</v>
      </c>
      <c r="O34" s="184">
        <v>92.88</v>
      </c>
      <c r="Q34" s="183">
        <v>45170</v>
      </c>
      <c r="R34" s="185">
        <v>4478.8500000000004</v>
      </c>
      <c r="T34" s="182">
        <v>45139</v>
      </c>
      <c r="U34" s="73">
        <v>246.68</v>
      </c>
      <c r="W34" s="183">
        <v>45139</v>
      </c>
      <c r="X34" s="184">
        <v>545.29</v>
      </c>
      <c r="Z34" s="183">
        <v>45139</v>
      </c>
      <c r="AA34" s="185">
        <v>1194.4000000000001</v>
      </c>
      <c r="AC34" s="183">
        <v>45139</v>
      </c>
      <c r="AD34" s="184">
        <v>823.01</v>
      </c>
    </row>
    <row r="35" spans="2:30" x14ac:dyDescent="0.25">
      <c r="B35" s="183">
        <v>44896</v>
      </c>
      <c r="C35" s="184">
        <v>259.49</v>
      </c>
      <c r="G35" s="183">
        <v>44896</v>
      </c>
      <c r="H35" s="185">
        <v>18105.3</v>
      </c>
      <c r="J35" s="183">
        <v>45108</v>
      </c>
      <c r="K35" s="185">
        <v>2472.65</v>
      </c>
      <c r="N35" s="183">
        <v>45200</v>
      </c>
      <c r="O35" s="184">
        <v>91.68</v>
      </c>
      <c r="Q35" s="183">
        <v>45139</v>
      </c>
      <c r="R35" s="185">
        <v>4410.34</v>
      </c>
      <c r="T35" s="182">
        <v>45108</v>
      </c>
      <c r="U35" s="73">
        <v>261.02</v>
      </c>
      <c r="W35" s="183">
        <v>45108</v>
      </c>
      <c r="X35" s="184">
        <v>570.85</v>
      </c>
      <c r="Z35" s="183">
        <v>45108</v>
      </c>
      <c r="AA35" s="184">
        <v>988.31</v>
      </c>
      <c r="AC35" s="183">
        <v>45108</v>
      </c>
      <c r="AD35" s="184">
        <v>846.67</v>
      </c>
    </row>
    <row r="36" spans="2:30" x14ac:dyDescent="0.25">
      <c r="B36" s="183">
        <v>44866</v>
      </c>
      <c r="C36" s="184">
        <v>243.62</v>
      </c>
      <c r="G36" s="183">
        <v>44866</v>
      </c>
      <c r="H36" s="185">
        <v>18758.349999999999</v>
      </c>
      <c r="J36" s="183">
        <v>45078</v>
      </c>
      <c r="K36" s="185">
        <v>2565.0100000000002</v>
      </c>
      <c r="N36" s="183">
        <v>45170</v>
      </c>
      <c r="O36" s="184">
        <v>96.99</v>
      </c>
      <c r="Q36" s="183">
        <v>45108</v>
      </c>
      <c r="R36" s="185">
        <v>4732.3500000000004</v>
      </c>
      <c r="T36" s="182">
        <v>45078</v>
      </c>
      <c r="U36" s="73">
        <v>207.16</v>
      </c>
      <c r="W36" s="183">
        <v>45078</v>
      </c>
      <c r="X36" s="184">
        <v>561.97</v>
      </c>
      <c r="Z36" s="183">
        <v>45078</v>
      </c>
      <c r="AA36" s="184">
        <v>909.38</v>
      </c>
      <c r="AC36" s="183">
        <v>45078</v>
      </c>
      <c r="AD36" s="184">
        <v>848.1</v>
      </c>
    </row>
    <row r="37" spans="2:30" x14ac:dyDescent="0.25">
      <c r="B37" s="183">
        <v>44835</v>
      </c>
      <c r="C37" s="184">
        <v>206.05</v>
      </c>
      <c r="G37" s="183">
        <v>44835</v>
      </c>
      <c r="H37" s="185">
        <v>18012.2</v>
      </c>
      <c r="J37" s="183">
        <v>45047</v>
      </c>
      <c r="K37" s="185">
        <v>2554.86</v>
      </c>
      <c r="N37" s="183">
        <v>45139</v>
      </c>
      <c r="O37" s="184">
        <v>99.48</v>
      </c>
      <c r="Q37" s="183">
        <v>45078</v>
      </c>
      <c r="R37" s="185">
        <v>4959.99</v>
      </c>
      <c r="T37" s="182">
        <v>45047</v>
      </c>
      <c r="U37" s="73">
        <v>213.07</v>
      </c>
      <c r="W37" s="183">
        <v>45047</v>
      </c>
      <c r="X37" s="184">
        <v>544.02</v>
      </c>
      <c r="Z37" s="183">
        <v>45047</v>
      </c>
      <c r="AA37" s="184">
        <v>869.72</v>
      </c>
      <c r="AC37" s="183">
        <v>45047</v>
      </c>
      <c r="AD37" s="184">
        <v>785.35</v>
      </c>
    </row>
    <row r="38" spans="2:30" x14ac:dyDescent="0.25">
      <c r="B38" s="183">
        <v>44805</v>
      </c>
      <c r="C38" s="184">
        <v>204.85</v>
      </c>
      <c r="G38" s="183">
        <v>44805</v>
      </c>
      <c r="H38" s="185">
        <v>17094.349999999999</v>
      </c>
      <c r="J38" s="183">
        <v>45017</v>
      </c>
      <c r="K38" s="185">
        <v>2353.4899999999998</v>
      </c>
      <c r="N38" s="183">
        <v>45108</v>
      </c>
      <c r="O38" s="184">
        <v>99.92</v>
      </c>
      <c r="Q38" s="183">
        <v>45047</v>
      </c>
      <c r="R38" s="185">
        <v>4597.21</v>
      </c>
      <c r="T38" s="182">
        <v>45017</v>
      </c>
      <c r="U38" s="73">
        <v>166.41</v>
      </c>
      <c r="W38" s="183">
        <v>45017</v>
      </c>
      <c r="X38" s="184">
        <v>522.67999999999995</v>
      </c>
      <c r="Z38" s="183">
        <v>45017</v>
      </c>
      <c r="AA38" s="184">
        <v>835.3</v>
      </c>
      <c r="AC38" s="183">
        <v>45017</v>
      </c>
      <c r="AD38" s="184">
        <v>752.58</v>
      </c>
    </row>
    <row r="39" spans="2:30" x14ac:dyDescent="0.25">
      <c r="B39" s="183">
        <v>44774</v>
      </c>
      <c r="C39" s="184">
        <v>200.33</v>
      </c>
      <c r="G39" s="183">
        <v>44774</v>
      </c>
      <c r="H39" s="185">
        <v>17759.3</v>
      </c>
      <c r="J39" s="183">
        <v>44986</v>
      </c>
      <c r="K39" s="185">
        <v>2452.19</v>
      </c>
      <c r="N39" s="183">
        <v>45078</v>
      </c>
      <c r="O39" s="184">
        <v>100.6</v>
      </c>
      <c r="Q39" s="183">
        <v>45017</v>
      </c>
      <c r="R39" s="185">
        <v>4419.2700000000004</v>
      </c>
      <c r="T39" s="182">
        <v>44986</v>
      </c>
      <c r="U39" s="73">
        <v>142.36000000000001</v>
      </c>
      <c r="W39" s="183">
        <v>44986</v>
      </c>
      <c r="X39" s="184">
        <v>534.70000000000005</v>
      </c>
      <c r="Z39" s="183">
        <v>44986</v>
      </c>
      <c r="AA39" s="184">
        <v>838.61</v>
      </c>
      <c r="AC39" s="183">
        <v>44986</v>
      </c>
      <c r="AD39" s="184">
        <v>699.94</v>
      </c>
    </row>
    <row r="40" spans="2:30" x14ac:dyDescent="0.25">
      <c r="B40" s="183">
        <v>44743</v>
      </c>
      <c r="C40" s="184">
        <v>171.13</v>
      </c>
      <c r="G40" s="183">
        <v>44743</v>
      </c>
      <c r="H40" s="185">
        <v>17158.25</v>
      </c>
      <c r="J40" s="183">
        <v>44958</v>
      </c>
      <c r="K40" s="185">
        <v>2356.6999999999998</v>
      </c>
      <c r="N40" s="183">
        <v>45047</v>
      </c>
      <c r="O40" s="184">
        <v>100.88</v>
      </c>
      <c r="Q40" s="183">
        <v>44986</v>
      </c>
      <c r="R40" s="185">
        <v>4194.6899999999996</v>
      </c>
      <c r="T40" s="182">
        <v>44958</v>
      </c>
      <c r="U40" s="73">
        <v>141.57</v>
      </c>
      <c r="W40" s="183">
        <v>44958</v>
      </c>
      <c r="X40" s="184">
        <v>522.88</v>
      </c>
      <c r="Z40" s="183">
        <v>44958</v>
      </c>
      <c r="AA40" s="184">
        <v>889.5</v>
      </c>
      <c r="AC40" s="183">
        <v>44958</v>
      </c>
      <c r="AD40" s="184">
        <v>704.23</v>
      </c>
    </row>
    <row r="41" spans="2:30" x14ac:dyDescent="0.25">
      <c r="B41" s="183">
        <v>44713</v>
      </c>
      <c r="C41" s="184">
        <v>153.19</v>
      </c>
      <c r="G41" s="183">
        <v>44713</v>
      </c>
      <c r="H41" s="185">
        <v>15780.25</v>
      </c>
      <c r="J41" s="183">
        <v>44927</v>
      </c>
      <c r="K41" s="185">
        <v>2467.9</v>
      </c>
      <c r="N41" s="183">
        <v>45017</v>
      </c>
      <c r="O41" s="184">
        <v>104.35</v>
      </c>
      <c r="Q41" s="183">
        <v>44958</v>
      </c>
      <c r="R41" s="185">
        <v>4330.18</v>
      </c>
      <c r="T41" s="182">
        <v>44927</v>
      </c>
      <c r="U41" s="73">
        <v>151.82</v>
      </c>
      <c r="W41" s="183">
        <v>44927</v>
      </c>
      <c r="X41" s="184">
        <v>547.01</v>
      </c>
      <c r="Z41" s="183">
        <v>44927</v>
      </c>
      <c r="AA41" s="184">
        <v>883.37</v>
      </c>
      <c r="AC41" s="183">
        <v>44927</v>
      </c>
      <c r="AD41" s="184">
        <v>719.01</v>
      </c>
    </row>
    <row r="42" spans="2:30" x14ac:dyDescent="0.25">
      <c r="B42" s="183">
        <v>44682</v>
      </c>
      <c r="C42" s="184">
        <v>136.65</v>
      </c>
      <c r="G42" s="183">
        <v>44682</v>
      </c>
      <c r="H42" s="185">
        <v>16584.55</v>
      </c>
      <c r="J42" s="183">
        <v>44896</v>
      </c>
      <c r="K42" s="185">
        <v>2452.86</v>
      </c>
      <c r="N42" s="183">
        <v>44986</v>
      </c>
      <c r="O42" s="184">
        <v>101.56</v>
      </c>
      <c r="Q42" s="183">
        <v>44927</v>
      </c>
      <c r="R42" s="185">
        <v>4190.28</v>
      </c>
      <c r="T42" s="182">
        <v>44896</v>
      </c>
      <c r="U42" s="73">
        <v>353.8</v>
      </c>
      <c r="W42" s="183">
        <v>44896</v>
      </c>
      <c r="X42" s="184">
        <v>550.69000000000005</v>
      </c>
      <c r="Z42" s="183">
        <v>44896</v>
      </c>
      <c r="AA42" s="184">
        <v>904.53</v>
      </c>
      <c r="AC42" s="183">
        <v>44896</v>
      </c>
      <c r="AD42" s="184">
        <v>756.23</v>
      </c>
    </row>
    <row r="43" spans="2:30" x14ac:dyDescent="0.25">
      <c r="B43" s="183">
        <v>44652</v>
      </c>
      <c r="C43" s="184">
        <v>140.08000000000001</v>
      </c>
      <c r="G43" s="183">
        <v>44652</v>
      </c>
      <c r="H43" s="185">
        <v>17102.55</v>
      </c>
      <c r="J43" s="183">
        <v>44866</v>
      </c>
      <c r="K43" s="185">
        <v>2553.8200000000002</v>
      </c>
      <c r="N43" s="183">
        <v>44958</v>
      </c>
      <c r="O43" s="184">
        <v>96.66</v>
      </c>
      <c r="Q43" s="183">
        <v>44896</v>
      </c>
      <c r="R43" s="185">
        <v>4180.43</v>
      </c>
      <c r="T43" s="182">
        <v>44866</v>
      </c>
      <c r="U43" s="73">
        <v>314.58</v>
      </c>
      <c r="W43" s="183">
        <v>44866</v>
      </c>
      <c r="X43" s="184">
        <v>575.34</v>
      </c>
      <c r="Z43" s="183">
        <v>44866</v>
      </c>
      <c r="AA43" s="184">
        <v>881.74</v>
      </c>
      <c r="AC43" s="183">
        <v>44866</v>
      </c>
      <c r="AD43" s="184">
        <v>806.35</v>
      </c>
    </row>
    <row r="44" spans="2:30" x14ac:dyDescent="0.25">
      <c r="B44" s="183">
        <v>44621</v>
      </c>
      <c r="C44" s="184">
        <v>121.56</v>
      </c>
      <c r="G44" s="183">
        <v>44621</v>
      </c>
      <c r="H44" s="185">
        <v>17464.75</v>
      </c>
      <c r="J44" s="183">
        <v>44835</v>
      </c>
      <c r="K44" s="185">
        <v>2426.67</v>
      </c>
      <c r="N44" s="183">
        <v>44927</v>
      </c>
      <c r="O44" s="184">
        <v>101.58</v>
      </c>
      <c r="Q44" s="183">
        <v>44866</v>
      </c>
      <c r="R44" s="185">
        <v>4233.66</v>
      </c>
      <c r="T44" s="182">
        <v>44835</v>
      </c>
      <c r="U44" s="73">
        <v>296.89</v>
      </c>
      <c r="W44" s="183">
        <v>44835</v>
      </c>
      <c r="X44" s="184">
        <v>541.54999999999995</v>
      </c>
      <c r="Z44" s="183">
        <v>44835</v>
      </c>
      <c r="AA44" s="184">
        <v>947.31</v>
      </c>
      <c r="AC44" s="183">
        <v>44835</v>
      </c>
      <c r="AD44" s="184">
        <v>759.13</v>
      </c>
    </row>
    <row r="45" spans="2:30" x14ac:dyDescent="0.25">
      <c r="B45" s="183">
        <v>44593</v>
      </c>
      <c r="C45" s="184">
        <v>122.07</v>
      </c>
      <c r="G45" s="183">
        <v>44593</v>
      </c>
      <c r="H45" s="185">
        <v>16793.900000000001</v>
      </c>
      <c r="J45" s="183">
        <v>44805</v>
      </c>
      <c r="K45" s="185">
        <v>2565.33</v>
      </c>
      <c r="N45" s="183">
        <v>44896</v>
      </c>
      <c r="O45" s="184">
        <v>97.63</v>
      </c>
      <c r="Q45" s="183">
        <v>44835</v>
      </c>
      <c r="R45" s="185">
        <v>3655.48</v>
      </c>
      <c r="T45" s="182">
        <v>44805</v>
      </c>
      <c r="U45" s="73">
        <v>330.94</v>
      </c>
      <c r="W45" s="183">
        <v>44805</v>
      </c>
      <c r="X45" s="184">
        <v>559.13</v>
      </c>
      <c r="Z45" s="183">
        <v>44805</v>
      </c>
      <c r="AA45" s="185">
        <v>1036.67</v>
      </c>
      <c r="AC45" s="183">
        <v>44805</v>
      </c>
      <c r="AD45" s="184">
        <v>791.96</v>
      </c>
    </row>
    <row r="46" spans="2:30" x14ac:dyDescent="0.25">
      <c r="B46" s="183">
        <v>44562</v>
      </c>
      <c r="C46" s="184">
        <v>116.73</v>
      </c>
      <c r="G46" s="183">
        <v>44562</v>
      </c>
      <c r="H46" s="185">
        <v>17339.849999999999</v>
      </c>
      <c r="J46" s="183">
        <v>44774</v>
      </c>
      <c r="K46" s="185">
        <v>2530.5100000000002</v>
      </c>
      <c r="N46" s="183">
        <v>44866</v>
      </c>
      <c r="O46" s="184">
        <v>102.37</v>
      </c>
      <c r="Q46" s="183">
        <v>44805</v>
      </c>
      <c r="R46" s="185">
        <v>3729.72</v>
      </c>
      <c r="T46" s="182">
        <v>44774</v>
      </c>
      <c r="U46" s="73">
        <v>320.83999999999997</v>
      </c>
      <c r="W46" s="183">
        <v>44774</v>
      </c>
      <c r="X46" s="184">
        <v>569.72</v>
      </c>
      <c r="Z46" s="183">
        <v>44774</v>
      </c>
      <c r="AA46" s="185">
        <v>1020.65</v>
      </c>
      <c r="AC46" s="183">
        <v>44774</v>
      </c>
      <c r="AD46" s="184">
        <v>798.12</v>
      </c>
    </row>
    <row r="47" spans="2:30" x14ac:dyDescent="0.25">
      <c r="B47" s="183">
        <v>44531</v>
      </c>
      <c r="C47" s="184">
        <v>114.52</v>
      </c>
      <c r="G47" s="183">
        <v>44531</v>
      </c>
      <c r="H47" s="185">
        <v>17354.05</v>
      </c>
      <c r="J47" s="183">
        <v>44743</v>
      </c>
      <c r="K47" s="185">
        <v>2509.15</v>
      </c>
      <c r="N47" s="183">
        <v>44835</v>
      </c>
      <c r="O47" s="184">
        <v>99.36</v>
      </c>
      <c r="Q47" s="183">
        <v>44774</v>
      </c>
      <c r="R47" s="185">
        <v>3637.23</v>
      </c>
      <c r="T47" s="182">
        <v>44743</v>
      </c>
      <c r="U47" s="73">
        <v>273.69</v>
      </c>
      <c r="W47" s="183">
        <v>44743</v>
      </c>
      <c r="X47" s="184">
        <v>567.70000000000005</v>
      </c>
      <c r="Z47" s="183">
        <v>44743</v>
      </c>
      <c r="AA47" s="184">
        <v>974.91</v>
      </c>
      <c r="AC47" s="183">
        <v>44743</v>
      </c>
      <c r="AD47" s="184">
        <v>799.99</v>
      </c>
    </row>
    <row r="48" spans="2:30" x14ac:dyDescent="0.25">
      <c r="B48" s="183">
        <v>44501</v>
      </c>
      <c r="C48" s="184">
        <v>115.39</v>
      </c>
      <c r="G48" s="183">
        <v>44501</v>
      </c>
      <c r="H48" s="185">
        <v>16983.2</v>
      </c>
      <c r="J48" s="183">
        <v>44713</v>
      </c>
      <c r="K48" s="185">
        <v>2103.56</v>
      </c>
      <c r="N48" s="183">
        <v>44805</v>
      </c>
      <c r="O48" s="184">
        <v>97.57</v>
      </c>
      <c r="Q48" s="183">
        <v>44743</v>
      </c>
      <c r="R48" s="185">
        <v>3785.38</v>
      </c>
      <c r="T48" s="182">
        <v>44713</v>
      </c>
      <c r="U48" s="73">
        <v>258.98</v>
      </c>
      <c r="W48" s="183">
        <v>44713</v>
      </c>
      <c r="X48" s="184">
        <v>481.98</v>
      </c>
      <c r="Z48" s="183">
        <v>44713</v>
      </c>
      <c r="AA48" s="184">
        <v>866.39</v>
      </c>
      <c r="AC48" s="183">
        <v>44713</v>
      </c>
      <c r="AD48" s="184">
        <v>691.61</v>
      </c>
    </row>
    <row r="49" spans="2:30" x14ac:dyDescent="0.25">
      <c r="B49" s="183">
        <v>44470</v>
      </c>
      <c r="C49" s="184">
        <v>109.91</v>
      </c>
      <c r="G49" s="183">
        <v>44470</v>
      </c>
      <c r="H49" s="185">
        <v>17671.650000000001</v>
      </c>
      <c r="J49" s="183">
        <v>44682</v>
      </c>
      <c r="K49" s="185">
        <v>2219.2199999999998</v>
      </c>
      <c r="N49" s="183">
        <v>44774</v>
      </c>
      <c r="O49" s="184">
        <v>104.41</v>
      </c>
      <c r="Q49" s="183">
        <v>44713</v>
      </c>
      <c r="R49" s="185">
        <v>3307.14</v>
      </c>
      <c r="T49" s="182">
        <v>44682</v>
      </c>
      <c r="U49" s="73">
        <v>288.98</v>
      </c>
      <c r="W49" s="183">
        <v>44682</v>
      </c>
      <c r="X49" s="184">
        <v>504.14</v>
      </c>
      <c r="Z49" s="183">
        <v>44682</v>
      </c>
      <c r="AA49" s="184">
        <v>909.08</v>
      </c>
      <c r="AC49" s="183">
        <v>44682</v>
      </c>
      <c r="AD49" s="184">
        <v>747.4</v>
      </c>
    </row>
    <row r="50" spans="2:30" x14ac:dyDescent="0.25">
      <c r="B50" s="183">
        <v>44440</v>
      </c>
      <c r="C50" s="184">
        <v>116.42</v>
      </c>
      <c r="G50" s="183">
        <v>44440</v>
      </c>
      <c r="H50" s="185">
        <v>17618.150000000001</v>
      </c>
      <c r="J50" s="183">
        <v>44652</v>
      </c>
      <c r="K50" s="185">
        <v>2107.5700000000002</v>
      </c>
      <c r="N50" s="183">
        <v>44743</v>
      </c>
      <c r="O50" s="184">
        <v>106.1</v>
      </c>
      <c r="Q50" s="183">
        <v>44682</v>
      </c>
      <c r="R50" s="185">
        <v>3480.2</v>
      </c>
      <c r="T50" s="182">
        <v>44652</v>
      </c>
      <c r="U50" s="73">
        <v>305.93</v>
      </c>
      <c r="W50" s="183">
        <v>44652</v>
      </c>
      <c r="X50" s="184">
        <v>541.16999999999996</v>
      </c>
      <c r="Z50" s="183">
        <v>44652</v>
      </c>
      <c r="AA50" s="185">
        <v>1038.67</v>
      </c>
      <c r="AC50" s="183">
        <v>44652</v>
      </c>
      <c r="AD50" s="184">
        <v>805.97</v>
      </c>
    </row>
    <row r="51" spans="2:30" x14ac:dyDescent="0.25">
      <c r="B51" s="183">
        <v>44409</v>
      </c>
      <c r="C51" s="184">
        <v>106.23</v>
      </c>
      <c r="G51" s="183">
        <v>44409</v>
      </c>
      <c r="H51" s="185">
        <v>17132.2</v>
      </c>
      <c r="J51" s="183">
        <v>44621</v>
      </c>
      <c r="K51" s="185">
        <v>1931.97</v>
      </c>
      <c r="N51" s="183">
        <v>44713</v>
      </c>
      <c r="O51" s="184">
        <v>101.55</v>
      </c>
      <c r="Q51" s="183">
        <v>44652</v>
      </c>
      <c r="R51" s="185">
        <v>3128.58</v>
      </c>
      <c r="T51" s="182">
        <v>44621</v>
      </c>
      <c r="U51" s="73">
        <v>312.48</v>
      </c>
      <c r="W51" s="183">
        <v>44621</v>
      </c>
      <c r="X51" s="184">
        <v>521.44000000000005</v>
      </c>
      <c r="Z51" s="183">
        <v>44621</v>
      </c>
      <c r="AA51" s="185">
        <v>1052.92</v>
      </c>
      <c r="AC51" s="183">
        <v>44621</v>
      </c>
      <c r="AD51" s="184">
        <v>760.06</v>
      </c>
    </row>
    <row r="52" spans="2:30" x14ac:dyDescent="0.25">
      <c r="B52" s="183">
        <v>44378</v>
      </c>
      <c r="C52" s="184">
        <v>95.94</v>
      </c>
      <c r="G52" s="183">
        <v>44378</v>
      </c>
      <c r="H52" s="185">
        <v>15763.05</v>
      </c>
      <c r="J52" s="183">
        <v>44593</v>
      </c>
      <c r="K52" s="185">
        <v>2048.39</v>
      </c>
      <c r="N52" s="183">
        <v>44682</v>
      </c>
      <c r="O52" s="184">
        <v>106.61</v>
      </c>
      <c r="Q52" s="183">
        <v>44621</v>
      </c>
      <c r="R52" s="185">
        <v>3059.08</v>
      </c>
      <c r="T52" s="182">
        <v>44593</v>
      </c>
      <c r="U52" s="73">
        <v>301.63</v>
      </c>
      <c r="W52" s="183">
        <v>44593</v>
      </c>
      <c r="X52" s="184">
        <v>547.87</v>
      </c>
      <c r="Z52" s="183">
        <v>44593</v>
      </c>
      <c r="AA52" s="185">
        <v>1070.6500000000001</v>
      </c>
      <c r="AC52" s="183">
        <v>44593</v>
      </c>
      <c r="AD52" s="184">
        <v>702.46</v>
      </c>
    </row>
    <row r="53" spans="2:30" x14ac:dyDescent="0.25">
      <c r="B53" s="183">
        <v>44348</v>
      </c>
      <c r="C53" s="184">
        <v>91.86</v>
      </c>
      <c r="G53" s="183">
        <v>44348</v>
      </c>
      <c r="H53" s="185">
        <v>15721.5</v>
      </c>
      <c r="J53" s="183">
        <v>44562</v>
      </c>
      <c r="K53" s="185">
        <v>2144.25</v>
      </c>
      <c r="N53" s="183">
        <v>44652</v>
      </c>
      <c r="O53" s="184">
        <v>112.23</v>
      </c>
      <c r="Q53" s="183">
        <v>44593</v>
      </c>
      <c r="R53" s="185">
        <v>3269.98</v>
      </c>
      <c r="T53" s="182">
        <v>44562</v>
      </c>
      <c r="U53" s="73">
        <v>371.25</v>
      </c>
      <c r="W53" s="183">
        <v>44562</v>
      </c>
      <c r="X53" s="184">
        <v>522.12</v>
      </c>
      <c r="Z53" s="183">
        <v>44562</v>
      </c>
      <c r="AA53" s="185">
        <v>1003.84</v>
      </c>
      <c r="AC53" s="183">
        <v>44562</v>
      </c>
      <c r="AD53" s="184">
        <v>712.29</v>
      </c>
    </row>
    <row r="54" spans="2:30" x14ac:dyDescent="0.25">
      <c r="B54" s="183">
        <v>44317</v>
      </c>
      <c r="C54" s="184">
        <v>85.05</v>
      </c>
      <c r="G54" s="183">
        <v>44317</v>
      </c>
      <c r="H54" s="185">
        <v>15582.8</v>
      </c>
      <c r="J54" s="183">
        <v>44531</v>
      </c>
      <c r="K54" s="185">
        <v>2225.73</v>
      </c>
      <c r="N54" s="183">
        <v>44621</v>
      </c>
      <c r="O54" s="184">
        <v>107.06</v>
      </c>
      <c r="Q54" s="183">
        <v>44562</v>
      </c>
      <c r="R54" s="185">
        <v>3372.87</v>
      </c>
      <c r="T54" s="182">
        <v>44531</v>
      </c>
      <c r="U54" s="73">
        <v>399.78</v>
      </c>
      <c r="W54" s="183">
        <v>44531</v>
      </c>
      <c r="X54" s="184">
        <v>564.05999999999995</v>
      </c>
      <c r="Z54" s="183">
        <v>44531</v>
      </c>
      <c r="AA54" s="185">
        <v>1239.3900000000001</v>
      </c>
      <c r="AC54" s="183">
        <v>44531</v>
      </c>
      <c r="AD54" s="184">
        <v>726.96</v>
      </c>
    </row>
    <row r="55" spans="2:30" x14ac:dyDescent="0.25">
      <c r="B55" s="183">
        <v>44287</v>
      </c>
      <c r="C55" s="184">
        <v>79.89</v>
      </c>
      <c r="G55" s="183">
        <v>44287</v>
      </c>
      <c r="H55" s="185">
        <v>14631.1</v>
      </c>
      <c r="J55" s="183">
        <v>44501</v>
      </c>
      <c r="K55" s="185">
        <v>2185.56</v>
      </c>
      <c r="N55" s="183">
        <v>44593</v>
      </c>
      <c r="O55" s="184">
        <v>106.69</v>
      </c>
      <c r="Q55" s="183">
        <v>44531</v>
      </c>
      <c r="R55" s="185">
        <v>3440.32</v>
      </c>
      <c r="T55" s="182">
        <v>44501</v>
      </c>
      <c r="U55" s="73">
        <v>415.77</v>
      </c>
      <c r="W55" s="183">
        <v>44501</v>
      </c>
      <c r="X55" s="184">
        <v>576.24</v>
      </c>
      <c r="Z55" s="183">
        <v>44501</v>
      </c>
      <c r="AA55" s="185">
        <v>1306</v>
      </c>
      <c r="AC55" s="183">
        <v>44501</v>
      </c>
      <c r="AD55" s="184">
        <v>761.58</v>
      </c>
    </row>
    <row r="56" spans="2:30" x14ac:dyDescent="0.25">
      <c r="B56" s="183">
        <v>44256</v>
      </c>
      <c r="C56" s="184">
        <v>84.48</v>
      </c>
      <c r="G56" s="183">
        <v>44256</v>
      </c>
      <c r="H56" s="185">
        <v>14690.7</v>
      </c>
      <c r="J56" s="183">
        <v>44470</v>
      </c>
      <c r="K56" s="185">
        <v>2243.0700000000002</v>
      </c>
      <c r="N56" s="183">
        <v>44562</v>
      </c>
      <c r="O56" s="184">
        <v>106.07</v>
      </c>
      <c r="Q56" s="183">
        <v>44501</v>
      </c>
      <c r="R56" s="185">
        <v>3382.6</v>
      </c>
      <c r="T56" s="182">
        <v>44470</v>
      </c>
      <c r="U56" s="73">
        <v>509.46</v>
      </c>
      <c r="W56" s="183">
        <v>44470</v>
      </c>
      <c r="X56" s="184">
        <v>567.44000000000005</v>
      </c>
      <c r="Z56" s="183">
        <v>44470</v>
      </c>
      <c r="AA56" s="185">
        <v>1312.93</v>
      </c>
      <c r="AC56" s="183">
        <v>44470</v>
      </c>
      <c r="AD56" s="184">
        <v>791.26</v>
      </c>
    </row>
    <row r="57" spans="2:30" x14ac:dyDescent="0.25">
      <c r="B57" s="183">
        <v>44228</v>
      </c>
      <c r="C57" s="184">
        <v>87.29</v>
      </c>
      <c r="G57" s="183">
        <v>44228</v>
      </c>
      <c r="H57" s="185">
        <v>14529.15</v>
      </c>
      <c r="J57" s="183">
        <v>44440</v>
      </c>
      <c r="K57" s="185">
        <v>2532.36</v>
      </c>
      <c r="N57" s="183">
        <v>44531</v>
      </c>
      <c r="O57" s="184">
        <v>113.51</v>
      </c>
      <c r="Q57" s="183">
        <v>44470</v>
      </c>
      <c r="R57" s="185">
        <v>3506.87</v>
      </c>
      <c r="T57" s="182">
        <v>44440</v>
      </c>
      <c r="U57" s="73">
        <v>443.53</v>
      </c>
      <c r="W57" s="183">
        <v>44440</v>
      </c>
      <c r="X57" s="184">
        <v>597.25</v>
      </c>
      <c r="Z57" s="183">
        <v>44440</v>
      </c>
      <c r="AA57" s="185">
        <v>1383.52</v>
      </c>
      <c r="AC57" s="183">
        <v>44440</v>
      </c>
      <c r="AD57" s="184">
        <v>795.56</v>
      </c>
    </row>
    <row r="58" spans="2:30" x14ac:dyDescent="0.25">
      <c r="B58" s="183">
        <v>44197</v>
      </c>
      <c r="C58" s="184">
        <v>75.58</v>
      </c>
      <c r="G58" s="183">
        <v>44197</v>
      </c>
      <c r="H58" s="185">
        <v>13634.6</v>
      </c>
      <c r="J58" s="183">
        <v>44409</v>
      </c>
      <c r="K58" s="185">
        <v>2553.2600000000002</v>
      </c>
      <c r="N58" s="183">
        <v>44501</v>
      </c>
      <c r="O58" s="184">
        <v>105.1</v>
      </c>
      <c r="Q58" s="183">
        <v>44440</v>
      </c>
      <c r="R58" s="185">
        <v>3767.51</v>
      </c>
      <c r="T58" s="182">
        <v>44409</v>
      </c>
      <c r="U58" s="73">
        <v>454.27</v>
      </c>
      <c r="W58" s="183">
        <v>44409</v>
      </c>
      <c r="X58" s="184">
        <v>600.88</v>
      </c>
      <c r="Z58" s="183">
        <v>44409</v>
      </c>
      <c r="AA58" s="185">
        <v>1074.24</v>
      </c>
      <c r="AC58" s="183">
        <v>44409</v>
      </c>
      <c r="AD58" s="184">
        <v>845.53</v>
      </c>
    </row>
    <row r="59" spans="2:30" x14ac:dyDescent="0.25">
      <c r="B59" s="183">
        <v>44166</v>
      </c>
      <c r="C59" s="184">
        <v>76.88</v>
      </c>
      <c r="G59" s="183">
        <v>44166</v>
      </c>
      <c r="H59" s="185">
        <v>13981.75</v>
      </c>
      <c r="J59" s="183">
        <v>44378</v>
      </c>
      <c r="K59" s="185">
        <v>2186.9699999999998</v>
      </c>
      <c r="N59" s="183">
        <v>44470</v>
      </c>
      <c r="O59" s="184">
        <v>107.62</v>
      </c>
      <c r="Q59" s="183">
        <v>44409</v>
      </c>
      <c r="R59" s="185">
        <v>3813.83</v>
      </c>
      <c r="T59" s="182">
        <v>44378</v>
      </c>
      <c r="U59" s="73">
        <v>471.69</v>
      </c>
      <c r="W59" s="183">
        <v>44378</v>
      </c>
      <c r="X59" s="184">
        <v>578.23</v>
      </c>
      <c r="Z59" s="183">
        <v>44378</v>
      </c>
      <c r="AA59" s="184">
        <v>904.28</v>
      </c>
      <c r="AC59" s="183">
        <v>44378</v>
      </c>
      <c r="AD59" s="184">
        <v>739.38</v>
      </c>
    </row>
    <row r="60" spans="2:30" x14ac:dyDescent="0.25">
      <c r="B60" s="183">
        <v>44136</v>
      </c>
      <c r="C60" s="184">
        <v>73.34</v>
      </c>
      <c r="G60" s="183">
        <v>44136</v>
      </c>
      <c r="H60" s="185">
        <v>12968.95</v>
      </c>
      <c r="J60" s="183">
        <v>44348</v>
      </c>
      <c r="K60" s="185">
        <v>2299.6799999999998</v>
      </c>
      <c r="N60" s="183">
        <v>44440</v>
      </c>
      <c r="O60" s="184">
        <v>100.38</v>
      </c>
      <c r="Q60" s="183">
        <v>44378</v>
      </c>
      <c r="R60" s="185">
        <v>3266.11</v>
      </c>
      <c r="T60" s="182">
        <v>44348</v>
      </c>
      <c r="U60" s="73">
        <v>414.88</v>
      </c>
      <c r="W60" s="183">
        <v>44348</v>
      </c>
      <c r="X60" s="184">
        <v>547.70000000000005</v>
      </c>
      <c r="Z60" s="183">
        <v>44348</v>
      </c>
      <c r="AA60" s="184">
        <v>872.51</v>
      </c>
      <c r="AC60" s="183">
        <v>44348</v>
      </c>
      <c r="AD60" s="184">
        <v>732.88</v>
      </c>
    </row>
    <row r="61" spans="2:30" x14ac:dyDescent="0.25">
      <c r="B61" s="183">
        <v>44105</v>
      </c>
      <c r="C61" s="184">
        <v>54.98</v>
      </c>
      <c r="G61" s="183">
        <v>44105</v>
      </c>
      <c r="H61" s="185">
        <v>11642.4</v>
      </c>
      <c r="J61" s="183">
        <v>44317</v>
      </c>
      <c r="K61" s="185">
        <v>2177.54</v>
      </c>
      <c r="N61" s="183">
        <v>44409</v>
      </c>
      <c r="O61" s="184">
        <v>103.09</v>
      </c>
      <c r="Q61" s="183">
        <v>44348</v>
      </c>
      <c r="R61" s="185">
        <v>3481.97</v>
      </c>
      <c r="T61" s="182">
        <v>44317</v>
      </c>
      <c r="U61" s="73">
        <v>326.23</v>
      </c>
      <c r="W61" s="183">
        <v>44317</v>
      </c>
      <c r="X61" s="184">
        <v>520.36</v>
      </c>
      <c r="Z61" s="183">
        <v>44317</v>
      </c>
      <c r="AA61" s="184">
        <v>839.85</v>
      </c>
      <c r="AC61" s="183">
        <v>44317</v>
      </c>
      <c r="AD61" s="184">
        <v>645.28</v>
      </c>
    </row>
    <row r="62" spans="2:30" x14ac:dyDescent="0.25">
      <c r="B62" s="183">
        <v>44075</v>
      </c>
      <c r="C62" s="184">
        <v>58.69</v>
      </c>
      <c r="G62" s="183">
        <v>44075</v>
      </c>
      <c r="H62" s="185">
        <v>11247.55</v>
      </c>
      <c r="J62" s="183">
        <v>44287</v>
      </c>
      <c r="K62" s="185">
        <v>2190.29</v>
      </c>
      <c r="N62" s="183">
        <v>44378</v>
      </c>
      <c r="O62" s="184">
        <v>102.25</v>
      </c>
      <c r="Q62" s="183">
        <v>44317</v>
      </c>
      <c r="R62" s="185">
        <v>3277.27</v>
      </c>
      <c r="T62" s="182">
        <v>44287</v>
      </c>
      <c r="U62" s="73">
        <v>352.92</v>
      </c>
      <c r="W62" s="183">
        <v>44287</v>
      </c>
      <c r="X62" s="184">
        <v>518.48</v>
      </c>
      <c r="Z62" s="183">
        <v>44287</v>
      </c>
      <c r="AA62" s="184">
        <v>777.57</v>
      </c>
      <c r="AC62" s="183">
        <v>44287</v>
      </c>
      <c r="AD62" s="184">
        <v>653.16</v>
      </c>
    </row>
    <row r="63" spans="2:30" x14ac:dyDescent="0.25">
      <c r="B63" s="183">
        <v>44044</v>
      </c>
      <c r="C63" s="184">
        <v>59.57</v>
      </c>
      <c r="G63" s="183">
        <v>44044</v>
      </c>
      <c r="H63" s="185">
        <v>11387.5</v>
      </c>
      <c r="J63" s="183">
        <v>44256</v>
      </c>
      <c r="K63" s="185">
        <v>2262.64</v>
      </c>
      <c r="N63" s="183">
        <v>44348</v>
      </c>
      <c r="O63" s="184">
        <v>102.63</v>
      </c>
      <c r="Q63" s="183">
        <v>44287</v>
      </c>
      <c r="R63" s="185">
        <v>3224.99</v>
      </c>
      <c r="T63" s="182">
        <v>44256</v>
      </c>
      <c r="U63" s="73">
        <v>282.45</v>
      </c>
      <c r="W63" s="183">
        <v>44256</v>
      </c>
      <c r="X63" s="184">
        <v>520.64</v>
      </c>
      <c r="Z63" s="183">
        <v>44256</v>
      </c>
      <c r="AA63" s="184">
        <v>707.33</v>
      </c>
      <c r="AC63" s="183">
        <v>44256</v>
      </c>
      <c r="AD63" s="184">
        <v>620.78</v>
      </c>
    </row>
    <row r="64" spans="2:30" x14ac:dyDescent="0.25">
      <c r="J64" s="183">
        <v>44228</v>
      </c>
      <c r="K64" s="185">
        <v>1983.99</v>
      </c>
      <c r="N64" s="183">
        <v>44317</v>
      </c>
      <c r="O64" s="184">
        <v>98.6</v>
      </c>
      <c r="Q64" s="183">
        <v>44256</v>
      </c>
      <c r="R64" s="185">
        <v>3389.61</v>
      </c>
      <c r="T64" s="182">
        <v>44228</v>
      </c>
      <c r="U64" s="73">
        <v>301.79000000000002</v>
      </c>
      <c r="W64" s="183">
        <v>44228</v>
      </c>
      <c r="X64" s="184">
        <v>484.68</v>
      </c>
      <c r="Z64" s="183">
        <v>44228</v>
      </c>
      <c r="AA64" s="184">
        <v>686.88</v>
      </c>
      <c r="AC64" s="183">
        <v>44228</v>
      </c>
      <c r="AD64" s="184">
        <v>591.76</v>
      </c>
    </row>
    <row r="65" spans="10:30" x14ac:dyDescent="0.25">
      <c r="J65" s="183">
        <v>44197</v>
      </c>
      <c r="K65" s="185">
        <v>2106.6799999999998</v>
      </c>
      <c r="N65" s="183">
        <v>44287</v>
      </c>
      <c r="O65" s="184">
        <v>94.53</v>
      </c>
      <c r="Q65" s="183">
        <v>44228</v>
      </c>
      <c r="R65" s="185">
        <v>3145.28</v>
      </c>
      <c r="T65" s="182">
        <v>44197</v>
      </c>
      <c r="U65" s="73">
        <v>268.12</v>
      </c>
      <c r="W65" s="183">
        <v>44197</v>
      </c>
      <c r="X65" s="184">
        <v>496.14</v>
      </c>
      <c r="Z65" s="183">
        <v>44197</v>
      </c>
      <c r="AA65" s="184">
        <v>679.31</v>
      </c>
      <c r="AC65" s="183">
        <v>44197</v>
      </c>
      <c r="AD65" s="184">
        <v>544.70000000000005</v>
      </c>
    </row>
    <row r="66" spans="10:30" x14ac:dyDescent="0.25">
      <c r="J66" s="183">
        <v>44166</v>
      </c>
      <c r="K66" s="185">
        <v>2229.0500000000002</v>
      </c>
      <c r="N66" s="183">
        <v>44256</v>
      </c>
      <c r="O66" s="184">
        <v>91.45</v>
      </c>
      <c r="Q66" s="183">
        <v>44197</v>
      </c>
      <c r="R66" s="185">
        <v>3273.71</v>
      </c>
      <c r="T66" s="182">
        <v>44166</v>
      </c>
      <c r="U66" s="73">
        <v>284.76</v>
      </c>
      <c r="W66" s="183">
        <v>44166</v>
      </c>
      <c r="X66" s="184">
        <v>514.19000000000005</v>
      </c>
      <c r="Z66" s="183">
        <v>44166</v>
      </c>
      <c r="AA66" s="184">
        <v>706.99</v>
      </c>
      <c r="AC66" s="183">
        <v>44166</v>
      </c>
      <c r="AD66" s="184">
        <v>573.29</v>
      </c>
    </row>
    <row r="67" spans="10:30" x14ac:dyDescent="0.25">
      <c r="J67" s="183">
        <v>44136</v>
      </c>
      <c r="K67" s="185">
        <v>1989.71</v>
      </c>
      <c r="N67" s="183">
        <v>44228</v>
      </c>
      <c r="O67" s="184">
        <v>82.48</v>
      </c>
      <c r="Q67" s="183">
        <v>44166</v>
      </c>
      <c r="R67" s="185">
        <v>3344.07</v>
      </c>
      <c r="T67" s="182">
        <v>44136</v>
      </c>
      <c r="U67" s="73">
        <v>279.47000000000003</v>
      </c>
      <c r="W67" s="183">
        <v>44136</v>
      </c>
      <c r="X67" s="184">
        <v>479.43</v>
      </c>
      <c r="Z67" s="183">
        <v>44136</v>
      </c>
      <c r="AA67" s="184">
        <v>693.84</v>
      </c>
      <c r="AC67" s="183">
        <v>44136</v>
      </c>
      <c r="AD67" s="184">
        <v>524.04</v>
      </c>
    </row>
    <row r="68" spans="10:30" x14ac:dyDescent="0.25">
      <c r="J68" s="183">
        <v>44105</v>
      </c>
      <c r="K68" s="185">
        <v>1915.06</v>
      </c>
      <c r="N68" s="183">
        <v>44197</v>
      </c>
      <c r="O68" s="184">
        <v>86.85</v>
      </c>
      <c r="Q68" s="183">
        <v>44136</v>
      </c>
      <c r="R68" s="185">
        <v>3401.67</v>
      </c>
      <c r="T68" s="182">
        <v>44105</v>
      </c>
      <c r="U68" s="73">
        <v>294.58</v>
      </c>
      <c r="W68" s="183">
        <v>44105</v>
      </c>
      <c r="X68" s="184">
        <v>490.9</v>
      </c>
      <c r="Z68" s="183">
        <v>44105</v>
      </c>
      <c r="AA68" s="184">
        <v>585.91999999999996</v>
      </c>
      <c r="AC68" s="183">
        <v>44105</v>
      </c>
      <c r="AD68" s="184">
        <v>479.61</v>
      </c>
    </row>
    <row r="69" spans="10:30" x14ac:dyDescent="0.25">
      <c r="J69" s="183">
        <v>44075</v>
      </c>
      <c r="K69" s="185">
        <v>1912.24</v>
      </c>
      <c r="N69" s="183">
        <v>44166</v>
      </c>
      <c r="O69" s="184">
        <v>90.52</v>
      </c>
      <c r="Q69" s="183">
        <v>44105</v>
      </c>
      <c r="R69" s="185">
        <v>3247.67</v>
      </c>
      <c r="T69" s="182">
        <v>44075</v>
      </c>
      <c r="U69" s="73">
        <v>308.33</v>
      </c>
      <c r="W69" s="183">
        <v>44075</v>
      </c>
      <c r="X69" s="184">
        <v>490.09</v>
      </c>
      <c r="Z69" s="183">
        <v>44075</v>
      </c>
      <c r="AA69" s="184">
        <v>571.1</v>
      </c>
      <c r="AC69" s="183">
        <v>44075</v>
      </c>
      <c r="AD69" s="184">
        <v>485.88</v>
      </c>
    </row>
    <row r="70" spans="10:30" x14ac:dyDescent="0.25">
      <c r="J70" s="183">
        <v>44044</v>
      </c>
      <c r="K70" s="185">
        <v>1957.63</v>
      </c>
      <c r="N70" s="183">
        <v>44136</v>
      </c>
      <c r="O70" s="184">
        <v>87.84</v>
      </c>
      <c r="Q70" s="183">
        <v>44075</v>
      </c>
      <c r="R70" s="185">
        <v>3551.47</v>
      </c>
      <c r="T70" s="182">
        <v>44044</v>
      </c>
      <c r="U70" s="73">
        <v>342.04</v>
      </c>
      <c r="W70" s="183">
        <v>44044</v>
      </c>
      <c r="X70" s="184">
        <v>454.43</v>
      </c>
      <c r="Z70" s="183">
        <v>44044</v>
      </c>
      <c r="AA70" s="184">
        <v>545.42999999999995</v>
      </c>
      <c r="AC70" s="183">
        <v>44044</v>
      </c>
      <c r="AD70" s="184">
        <v>518.30999999999995</v>
      </c>
    </row>
    <row r="71" spans="10:30" x14ac:dyDescent="0.25">
      <c r="N71" s="183">
        <v>44105</v>
      </c>
      <c r="O71" s="184">
        <v>89.51</v>
      </c>
      <c r="Q71" s="183">
        <v>44044</v>
      </c>
      <c r="R71" s="185">
        <v>3409.84</v>
      </c>
    </row>
    <row r="72" spans="10:30" x14ac:dyDescent="0.25">
      <c r="N72" s="183">
        <v>44075</v>
      </c>
      <c r="O72" s="184">
        <v>94.93</v>
      </c>
    </row>
    <row r="73" spans="10:30" x14ac:dyDescent="0.25">
      <c r="N73" s="183">
        <v>44044</v>
      </c>
      <c r="O73" s="184">
        <v>94.25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showGridLines="0" workbookViewId="0">
      <selection activeCell="I3" sqref="I3:I12"/>
    </sheetView>
  </sheetViews>
  <sheetFormatPr defaultRowHeight="15" x14ac:dyDescent="0.25"/>
  <cols>
    <col min="2" max="2" width="5.7109375" bestFit="1" customWidth="1"/>
    <col min="3" max="3" width="16.5703125" bestFit="1" customWidth="1"/>
    <col min="4" max="4" width="8" bestFit="1" customWidth="1"/>
    <col min="5" max="5" width="16.5703125" bestFit="1" customWidth="1"/>
    <col min="6" max="6" width="16.5703125" customWidth="1"/>
    <col min="7" max="7" width="10.7109375" bestFit="1" customWidth="1"/>
    <col min="8" max="8" width="10" bestFit="1" customWidth="1"/>
    <col min="9" max="9" width="10" customWidth="1"/>
    <col min="10" max="10" width="14.42578125" bestFit="1" customWidth="1"/>
    <col min="11" max="11" width="14.42578125" customWidth="1"/>
    <col min="12" max="12" width="11" bestFit="1" customWidth="1"/>
    <col min="13" max="13" width="14.42578125" bestFit="1" customWidth="1"/>
    <col min="14" max="14" width="14.28515625" bestFit="1" customWidth="1"/>
    <col min="15" max="16" width="14.28515625" customWidth="1"/>
    <col min="17" max="17" width="13.28515625" bestFit="1" customWidth="1"/>
  </cols>
  <sheetData>
    <row r="2" spans="2:17" x14ac:dyDescent="0.25">
      <c r="B2" t="s">
        <v>305</v>
      </c>
      <c r="C2" t="s">
        <v>306</v>
      </c>
      <c r="D2" t="s">
        <v>307</v>
      </c>
      <c r="E2" t="s">
        <v>368</v>
      </c>
      <c r="F2" t="s">
        <v>399</v>
      </c>
      <c r="G2" t="s">
        <v>308</v>
      </c>
      <c r="H2" t="s">
        <v>369</v>
      </c>
      <c r="J2" t="s">
        <v>370</v>
      </c>
      <c r="K2" t="s">
        <v>400</v>
      </c>
      <c r="L2" t="s">
        <v>371</v>
      </c>
      <c r="M2" t="s">
        <v>372</v>
      </c>
      <c r="N2" t="s">
        <v>373</v>
      </c>
      <c r="O2" t="s">
        <v>65</v>
      </c>
      <c r="P2" t="s">
        <v>65</v>
      </c>
      <c r="Q2" t="s">
        <v>374</v>
      </c>
    </row>
    <row r="3" spans="2:17" x14ac:dyDescent="0.25">
      <c r="B3">
        <v>1</v>
      </c>
      <c r="C3" t="s">
        <v>311</v>
      </c>
      <c r="D3" s="159">
        <v>452.25</v>
      </c>
      <c r="E3" s="159">
        <v>338.19</v>
      </c>
      <c r="F3" s="159">
        <f>D3*E3</f>
        <v>152946.42749999999</v>
      </c>
      <c r="G3" s="159">
        <v>2826.25</v>
      </c>
      <c r="H3" s="159">
        <v>153323.39000000001</v>
      </c>
      <c r="I3" s="159">
        <f>G3-J3</f>
        <v>376.19999999999982</v>
      </c>
      <c r="J3" s="159">
        <v>2450.0500000000002</v>
      </c>
      <c r="K3" s="159">
        <f>F3+G3-J3</f>
        <v>153322.6275</v>
      </c>
      <c r="L3" s="159">
        <v>21257.27</v>
      </c>
      <c r="M3" s="159">
        <v>4092.98</v>
      </c>
      <c r="N3" s="159">
        <v>1032.3800000000001</v>
      </c>
      <c r="O3" s="159">
        <f>M3+N3</f>
        <v>5125.3600000000006</v>
      </c>
      <c r="P3" s="159">
        <v>5125.3600000000006</v>
      </c>
      <c r="Q3" s="159">
        <v>2817.66</v>
      </c>
    </row>
    <row r="4" spans="2:17" x14ac:dyDescent="0.25">
      <c r="B4">
        <v>2</v>
      </c>
      <c r="C4" t="s">
        <v>375</v>
      </c>
      <c r="D4" s="159">
        <v>1357.6</v>
      </c>
      <c r="E4" s="159">
        <v>72.739999999999995</v>
      </c>
      <c r="F4" s="159">
        <f t="shared" ref="F4:F30" si="0">D4*E4</f>
        <v>98751.823999999993</v>
      </c>
      <c r="G4" s="159">
        <v>480</v>
      </c>
      <c r="H4" s="159">
        <v>97195.15</v>
      </c>
      <c r="I4" s="159">
        <f t="shared" ref="I4:I12" si="1">G4-J4</f>
        <v>-1550</v>
      </c>
      <c r="J4" s="159">
        <v>2030</v>
      </c>
      <c r="K4" s="159">
        <f t="shared" ref="K4:K30" si="2">F4+G4-J4</f>
        <v>97201.823999999993</v>
      </c>
      <c r="L4" s="159">
        <v>12069</v>
      </c>
      <c r="M4" s="159">
        <v>2289</v>
      </c>
      <c r="N4" s="159">
        <v>283</v>
      </c>
      <c r="O4" s="159">
        <f t="shared" ref="O4:O30" si="3">M4+N4</f>
        <v>2572</v>
      </c>
      <c r="P4" s="159">
        <v>2572</v>
      </c>
      <c r="Q4" s="159">
        <v>1582</v>
      </c>
    </row>
    <row r="5" spans="2:17" x14ac:dyDescent="0.25">
      <c r="B5">
        <v>3</v>
      </c>
      <c r="C5" t="s">
        <v>376</v>
      </c>
      <c r="D5" s="159">
        <v>1960.1</v>
      </c>
      <c r="E5" s="159">
        <v>26.44</v>
      </c>
      <c r="F5" s="159">
        <f t="shared" si="0"/>
        <v>51825.044000000002</v>
      </c>
      <c r="G5" s="159">
        <v>619.98</v>
      </c>
      <c r="H5" s="159">
        <v>52003.15</v>
      </c>
      <c r="I5" s="159">
        <f t="shared" si="1"/>
        <v>177.10000000000002</v>
      </c>
      <c r="J5" s="159">
        <v>442.88</v>
      </c>
      <c r="K5" s="159">
        <f t="shared" si="2"/>
        <v>52002.144000000008</v>
      </c>
      <c r="L5" s="159">
        <v>8915.09</v>
      </c>
      <c r="M5" s="159">
        <v>643.73</v>
      </c>
      <c r="N5" s="159">
        <v>232.98</v>
      </c>
      <c r="O5" s="159">
        <f t="shared" si="3"/>
        <v>876.71</v>
      </c>
      <c r="P5" s="159">
        <v>876.71</v>
      </c>
      <c r="Q5" s="159">
        <v>442.41</v>
      </c>
    </row>
    <row r="6" spans="2:17" x14ac:dyDescent="0.25">
      <c r="B6">
        <v>4</v>
      </c>
      <c r="C6" t="s">
        <v>377</v>
      </c>
      <c r="D6" s="159">
        <v>2718.3</v>
      </c>
      <c r="E6" s="159">
        <v>13.39</v>
      </c>
      <c r="F6" s="159">
        <f t="shared" si="0"/>
        <v>36398.037000000004</v>
      </c>
      <c r="G6" s="159">
        <v>750.43</v>
      </c>
      <c r="H6" s="159">
        <v>37082.49</v>
      </c>
      <c r="I6" s="159">
        <f t="shared" si="1"/>
        <v>693.28</v>
      </c>
      <c r="J6" s="159">
        <v>57.15</v>
      </c>
      <c r="K6" s="159">
        <f t="shared" si="2"/>
        <v>37091.317000000003</v>
      </c>
      <c r="L6" s="159">
        <v>4851.1499999999996</v>
      </c>
      <c r="M6" s="159">
        <v>538.41999999999996</v>
      </c>
      <c r="N6" s="159">
        <v>140.13999999999999</v>
      </c>
      <c r="O6" s="159">
        <f t="shared" si="3"/>
        <v>678.56</v>
      </c>
      <c r="P6" s="159">
        <v>678.56</v>
      </c>
      <c r="Q6" s="159">
        <v>345.19</v>
      </c>
    </row>
    <row r="7" spans="2:17" x14ac:dyDescent="0.25">
      <c r="B7">
        <v>5</v>
      </c>
      <c r="C7" t="s">
        <v>378</v>
      </c>
      <c r="D7" s="159">
        <v>447.25</v>
      </c>
      <c r="E7" s="159">
        <v>27.97</v>
      </c>
      <c r="F7" s="159">
        <f t="shared" si="0"/>
        <v>12509.582499999999</v>
      </c>
      <c r="G7" s="159">
        <v>905.24</v>
      </c>
      <c r="H7" s="159">
        <v>13283.54</v>
      </c>
      <c r="I7" s="159">
        <f t="shared" si="1"/>
        <v>773.5</v>
      </c>
      <c r="J7" s="159">
        <v>131.74</v>
      </c>
      <c r="K7" s="159">
        <f t="shared" si="2"/>
        <v>13283.082499999999</v>
      </c>
      <c r="L7" s="159">
        <v>3519.88</v>
      </c>
      <c r="M7" s="159">
        <v>390.97</v>
      </c>
      <c r="N7" s="159">
        <v>60.64</v>
      </c>
      <c r="O7" s="159">
        <f t="shared" si="3"/>
        <v>451.61</v>
      </c>
      <c r="P7" s="159">
        <v>451.61000000000007</v>
      </c>
      <c r="Q7" s="159">
        <v>194.84</v>
      </c>
    </row>
    <row r="8" spans="2:17" x14ac:dyDescent="0.25">
      <c r="B8">
        <v>6</v>
      </c>
      <c r="C8" t="s">
        <v>379</v>
      </c>
      <c r="D8" s="159">
        <v>338.3</v>
      </c>
      <c r="E8" s="159">
        <v>19.38</v>
      </c>
      <c r="F8" s="159">
        <f t="shared" si="0"/>
        <v>6556.2539999999999</v>
      </c>
      <c r="G8" s="159">
        <v>44.18</v>
      </c>
      <c r="H8" s="159">
        <v>6498.07</v>
      </c>
      <c r="I8" s="159">
        <f t="shared" si="1"/>
        <v>-58.65</v>
      </c>
      <c r="J8" s="159">
        <v>102.83</v>
      </c>
      <c r="K8" s="159">
        <f t="shared" si="2"/>
        <v>6497.6040000000003</v>
      </c>
      <c r="L8" s="159">
        <v>1434.15</v>
      </c>
      <c r="M8" s="159">
        <v>241.94</v>
      </c>
      <c r="N8" s="159">
        <v>30.51</v>
      </c>
      <c r="O8" s="159">
        <f t="shared" si="3"/>
        <v>272.45</v>
      </c>
      <c r="P8" s="159">
        <v>272.45</v>
      </c>
      <c r="Q8" s="159">
        <v>229.59</v>
      </c>
    </row>
    <row r="9" spans="2:17" x14ac:dyDescent="0.25">
      <c r="B9">
        <v>7</v>
      </c>
      <c r="C9" t="s">
        <v>380</v>
      </c>
      <c r="D9" s="159">
        <v>2053.1999999999998</v>
      </c>
      <c r="E9" s="159">
        <v>3.1</v>
      </c>
      <c r="F9" s="159">
        <f t="shared" si="0"/>
        <v>6364.92</v>
      </c>
      <c r="G9" s="159">
        <v>1891.53</v>
      </c>
      <c r="H9" s="159">
        <v>8171.11</v>
      </c>
      <c r="I9" s="159">
        <f t="shared" si="1"/>
        <v>1814.09</v>
      </c>
      <c r="J9" s="159">
        <v>77.44</v>
      </c>
      <c r="K9" s="159">
        <f t="shared" si="2"/>
        <v>8179.0100000000011</v>
      </c>
      <c r="L9" s="159">
        <v>3768.26</v>
      </c>
      <c r="M9" s="159">
        <v>456.69</v>
      </c>
      <c r="N9" s="159">
        <v>115.2</v>
      </c>
      <c r="O9" s="159">
        <f t="shared" si="3"/>
        <v>571.89</v>
      </c>
      <c r="P9" s="159">
        <v>571.89</v>
      </c>
      <c r="Q9" s="159">
        <v>230.92</v>
      </c>
    </row>
    <row r="10" spans="2:17" x14ac:dyDescent="0.25">
      <c r="B10">
        <v>8</v>
      </c>
      <c r="C10" t="s">
        <v>381</v>
      </c>
      <c r="D10" s="159">
        <v>587.15</v>
      </c>
      <c r="E10" s="159">
        <v>9.5</v>
      </c>
      <c r="F10" s="159">
        <f t="shared" si="0"/>
        <v>5577.9250000000002</v>
      </c>
      <c r="G10" s="159">
        <v>308.17</v>
      </c>
      <c r="H10" s="159">
        <v>5839.2</v>
      </c>
      <c r="I10" s="159">
        <f t="shared" si="1"/>
        <v>260.61</v>
      </c>
      <c r="J10" s="159">
        <v>47.56</v>
      </c>
      <c r="K10" s="159">
        <f t="shared" si="2"/>
        <v>5838.5349999999999</v>
      </c>
      <c r="L10" s="159">
        <v>818.12</v>
      </c>
      <c r="M10" s="159">
        <v>170.05</v>
      </c>
      <c r="N10" s="159">
        <v>19.47</v>
      </c>
      <c r="O10" s="159">
        <f t="shared" si="3"/>
        <v>189.52</v>
      </c>
      <c r="P10" s="159">
        <v>189.52</v>
      </c>
      <c r="Q10" s="159">
        <v>102.34</v>
      </c>
    </row>
    <row r="11" spans="2:17" x14ac:dyDescent="0.25">
      <c r="B11">
        <v>9</v>
      </c>
      <c r="C11" t="s">
        <v>382</v>
      </c>
      <c r="D11" s="159">
        <v>1008</v>
      </c>
      <c r="E11" s="159">
        <v>2.9</v>
      </c>
      <c r="F11" s="159">
        <f t="shared" si="0"/>
        <v>2923.2</v>
      </c>
      <c r="G11" s="159">
        <v>526.54999999999995</v>
      </c>
      <c r="H11" s="159">
        <v>3376.18</v>
      </c>
      <c r="I11" s="159">
        <f t="shared" si="1"/>
        <v>456.42999999999995</v>
      </c>
      <c r="J11" s="159">
        <v>70.12</v>
      </c>
      <c r="K11" s="159">
        <f t="shared" si="2"/>
        <v>3379.63</v>
      </c>
      <c r="L11" s="159">
        <v>2537.13</v>
      </c>
      <c r="M11" s="159">
        <v>79.239999999999995</v>
      </c>
      <c r="N11" s="159">
        <v>81.61</v>
      </c>
      <c r="O11" s="159">
        <f t="shared" si="3"/>
        <v>160.85</v>
      </c>
      <c r="P11" s="159">
        <v>160.85</v>
      </c>
      <c r="Q11" s="159">
        <v>21.92</v>
      </c>
    </row>
    <row r="12" spans="2:17" x14ac:dyDescent="0.25">
      <c r="B12">
        <v>10</v>
      </c>
      <c r="C12" t="s">
        <v>383</v>
      </c>
      <c r="D12" s="159">
        <v>149.06</v>
      </c>
      <c r="E12" s="159">
        <v>19.53</v>
      </c>
      <c r="F12" s="159">
        <f t="shared" si="0"/>
        <v>2911.1418000000003</v>
      </c>
      <c r="G12" s="159">
        <v>170.92</v>
      </c>
      <c r="H12" s="159">
        <v>3061.94</v>
      </c>
      <c r="I12" s="159">
        <f t="shared" si="1"/>
        <v>150.92999999999998</v>
      </c>
      <c r="J12" s="159">
        <v>19.989999999999998</v>
      </c>
      <c r="K12" s="159">
        <f t="shared" si="2"/>
        <v>3062.0718000000006</v>
      </c>
      <c r="L12" s="159">
        <v>1442.9</v>
      </c>
      <c r="M12" s="159">
        <v>154.74</v>
      </c>
      <c r="N12" s="159">
        <v>25.97</v>
      </c>
      <c r="O12" s="159">
        <f t="shared" si="3"/>
        <v>180.71</v>
      </c>
      <c r="P12" s="159">
        <v>180.71</v>
      </c>
      <c r="Q12" s="159">
        <v>104.5</v>
      </c>
    </row>
    <row r="13" spans="2:17" x14ac:dyDescent="0.25"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</row>
    <row r="14" spans="2:17" x14ac:dyDescent="0.25"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</row>
    <row r="15" spans="2:17" x14ac:dyDescent="0.25"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</row>
    <row r="16" spans="2:17" x14ac:dyDescent="0.25">
      <c r="B16">
        <v>11</v>
      </c>
      <c r="C16" t="s">
        <v>384</v>
      </c>
      <c r="D16" s="159">
        <v>299.60000000000002</v>
      </c>
      <c r="E16" s="159">
        <v>8.44</v>
      </c>
      <c r="F16" s="159">
        <f t="shared" si="0"/>
        <v>2528.6240000000003</v>
      </c>
      <c r="G16" s="159">
        <v>315.25</v>
      </c>
      <c r="H16" s="159">
        <v>2830.49</v>
      </c>
      <c r="I16" s="159"/>
      <c r="J16" s="159">
        <v>14.14</v>
      </c>
      <c r="K16" s="159">
        <f t="shared" si="2"/>
        <v>2829.7340000000004</v>
      </c>
      <c r="L16" s="159">
        <v>579.15</v>
      </c>
      <c r="M16" s="159">
        <v>117.62</v>
      </c>
      <c r="N16" s="159">
        <v>34.99</v>
      </c>
      <c r="O16" s="159">
        <f t="shared" si="3"/>
        <v>152.61000000000001</v>
      </c>
      <c r="P16" s="159">
        <v>152.61000000000001</v>
      </c>
      <c r="Q16" s="159">
        <v>70.2</v>
      </c>
    </row>
    <row r="17" spans="2:17" x14ac:dyDescent="0.25">
      <c r="B17">
        <v>12</v>
      </c>
      <c r="C17" t="s">
        <v>385</v>
      </c>
      <c r="D17" s="159">
        <v>1197.0999999999999</v>
      </c>
      <c r="E17" s="159">
        <v>1.92</v>
      </c>
      <c r="F17" s="159">
        <f t="shared" si="0"/>
        <v>2298.4319999999998</v>
      </c>
      <c r="G17" s="159">
        <v>101.52</v>
      </c>
      <c r="H17" s="159">
        <v>2382.17</v>
      </c>
      <c r="I17" s="159"/>
      <c r="J17" s="159">
        <v>15.29</v>
      </c>
      <c r="K17" s="159">
        <f t="shared" si="2"/>
        <v>2384.6619999999998</v>
      </c>
      <c r="L17" s="159">
        <v>1075.32</v>
      </c>
      <c r="M17" s="159">
        <v>115.35</v>
      </c>
      <c r="N17" s="159">
        <v>17.440000000000001</v>
      </c>
      <c r="O17" s="159">
        <f t="shared" si="3"/>
        <v>132.79</v>
      </c>
      <c r="P17" s="159">
        <v>132.79</v>
      </c>
      <c r="Q17" s="159">
        <v>81.459999999999994</v>
      </c>
    </row>
    <row r="18" spans="2:17" x14ac:dyDescent="0.25">
      <c r="B18">
        <v>13</v>
      </c>
      <c r="C18" t="s">
        <v>386</v>
      </c>
      <c r="D18" s="159">
        <v>747.9</v>
      </c>
      <c r="E18" s="159">
        <v>2.2799999999999998</v>
      </c>
      <c r="F18" s="159">
        <f t="shared" si="0"/>
        <v>1705.2119999999998</v>
      </c>
      <c r="G18" s="159">
        <v>0</v>
      </c>
      <c r="H18" s="159">
        <v>1614.05</v>
      </c>
      <c r="I18" s="159"/>
      <c r="J18" s="159">
        <v>94.67</v>
      </c>
      <c r="K18" s="159">
        <f t="shared" si="2"/>
        <v>1610.5419999999997</v>
      </c>
      <c r="L18" s="159">
        <v>636.57000000000005</v>
      </c>
      <c r="M18" s="159">
        <v>159.65</v>
      </c>
      <c r="N18" s="159">
        <v>5.18</v>
      </c>
      <c r="O18" s="159">
        <f t="shared" si="3"/>
        <v>164.83</v>
      </c>
      <c r="P18" s="159">
        <v>164.83</v>
      </c>
      <c r="Q18" s="159">
        <v>129.04</v>
      </c>
    </row>
    <row r="19" spans="2:17" x14ac:dyDescent="0.25">
      <c r="B19">
        <v>14</v>
      </c>
      <c r="C19" t="s">
        <v>387</v>
      </c>
      <c r="D19" s="159">
        <v>41.86</v>
      </c>
      <c r="E19" s="159">
        <v>29.52</v>
      </c>
      <c r="F19" s="159">
        <f t="shared" si="0"/>
        <v>1235.7072000000001</v>
      </c>
      <c r="G19" s="159">
        <v>536.28</v>
      </c>
      <c r="H19" s="159">
        <v>1744.09</v>
      </c>
      <c r="I19" s="159"/>
      <c r="J19" s="159">
        <v>27.74</v>
      </c>
      <c r="K19" s="159">
        <f t="shared" si="2"/>
        <v>1744.2472</v>
      </c>
      <c r="L19" s="159">
        <v>2815.14</v>
      </c>
      <c r="M19" s="159">
        <v>167.55</v>
      </c>
      <c r="N19" s="159">
        <v>46.1</v>
      </c>
      <c r="O19" s="159">
        <f t="shared" si="3"/>
        <v>213.65</v>
      </c>
      <c r="P19" s="159">
        <v>213.65</v>
      </c>
      <c r="Q19" s="159">
        <v>102.85</v>
      </c>
    </row>
    <row r="20" spans="2:17" x14ac:dyDescent="0.25">
      <c r="B20">
        <v>15</v>
      </c>
      <c r="C20" t="s">
        <v>388</v>
      </c>
      <c r="D20" s="159">
        <v>191.2</v>
      </c>
      <c r="E20" s="159">
        <v>4.68</v>
      </c>
      <c r="F20" s="159">
        <f t="shared" si="0"/>
        <v>894.81599999999992</v>
      </c>
      <c r="G20" s="159">
        <v>403.87</v>
      </c>
      <c r="H20" s="159">
        <v>1297.47</v>
      </c>
      <c r="I20" s="159"/>
      <c r="J20" s="159">
        <v>0.88</v>
      </c>
      <c r="K20" s="159">
        <f t="shared" si="2"/>
        <v>1297.8059999999998</v>
      </c>
      <c r="L20" s="159">
        <v>491.5</v>
      </c>
      <c r="M20" s="159">
        <v>4.9400000000000004</v>
      </c>
      <c r="N20" s="159">
        <v>9.27</v>
      </c>
      <c r="O20" s="159">
        <f t="shared" si="3"/>
        <v>14.21</v>
      </c>
      <c r="P20" s="159">
        <v>14.21</v>
      </c>
      <c r="Q20" s="159">
        <v>-23.45</v>
      </c>
    </row>
    <row r="21" spans="2:17" x14ac:dyDescent="0.25">
      <c r="B21">
        <v>16</v>
      </c>
      <c r="C21" t="s">
        <v>389</v>
      </c>
      <c r="D21" s="159">
        <v>697.35</v>
      </c>
      <c r="E21" s="159">
        <v>0.94</v>
      </c>
      <c r="F21" s="159">
        <f t="shared" si="0"/>
        <v>655.50900000000001</v>
      </c>
      <c r="G21" s="159">
        <v>6.17</v>
      </c>
      <c r="H21" s="159">
        <v>472.05</v>
      </c>
      <c r="I21" s="159"/>
      <c r="J21" s="159">
        <v>187.54</v>
      </c>
      <c r="K21" s="159">
        <f t="shared" si="2"/>
        <v>474.13900000000001</v>
      </c>
      <c r="L21" s="159">
        <v>1059.22</v>
      </c>
      <c r="M21" s="159">
        <v>36.82</v>
      </c>
      <c r="N21" s="159">
        <v>19.100000000000001</v>
      </c>
      <c r="O21" s="159">
        <f t="shared" si="3"/>
        <v>55.92</v>
      </c>
      <c r="P21" s="159">
        <v>55.92</v>
      </c>
      <c r="Q21" s="159">
        <v>22.34</v>
      </c>
    </row>
    <row r="22" spans="2:17" x14ac:dyDescent="0.25">
      <c r="B22">
        <v>17</v>
      </c>
      <c r="C22" t="s">
        <v>390</v>
      </c>
      <c r="D22" s="159">
        <v>147.30000000000001</v>
      </c>
      <c r="E22" s="159">
        <v>4.33</v>
      </c>
      <c r="F22" s="159">
        <f t="shared" si="0"/>
        <v>637.80900000000008</v>
      </c>
      <c r="G22" s="159">
        <v>121.15</v>
      </c>
      <c r="H22" s="159">
        <v>757.03</v>
      </c>
      <c r="I22" s="159"/>
      <c r="J22" s="159">
        <v>1.6</v>
      </c>
      <c r="K22" s="159">
        <f t="shared" si="2"/>
        <v>757.35900000000004</v>
      </c>
      <c r="L22" s="159">
        <v>302.10000000000002</v>
      </c>
      <c r="M22" s="159">
        <v>-9.11</v>
      </c>
      <c r="N22" s="159">
        <v>7.3</v>
      </c>
      <c r="O22" s="159">
        <f t="shared" si="3"/>
        <v>-1.8099999999999996</v>
      </c>
      <c r="P22" s="159">
        <v>-1.8099999999999996</v>
      </c>
      <c r="Q22" s="159">
        <v>-17.059999999999999</v>
      </c>
    </row>
    <row r="23" spans="2:17" x14ac:dyDescent="0.25">
      <c r="B23">
        <v>18</v>
      </c>
      <c r="C23" t="s">
        <v>391</v>
      </c>
      <c r="D23" s="159">
        <v>105.25</v>
      </c>
      <c r="E23" s="159">
        <v>5.2</v>
      </c>
      <c r="F23" s="159">
        <f t="shared" si="0"/>
        <v>547.30000000000007</v>
      </c>
      <c r="G23" s="159">
        <v>6.84</v>
      </c>
      <c r="H23" s="159">
        <v>553.94000000000005</v>
      </c>
      <c r="I23" s="159"/>
      <c r="J23" s="159">
        <v>0.02</v>
      </c>
      <c r="K23" s="159">
        <f t="shared" si="2"/>
        <v>554.12000000000012</v>
      </c>
      <c r="L23" s="159">
        <v>0.57999999999999996</v>
      </c>
      <c r="M23" s="159">
        <v>-0.5</v>
      </c>
      <c r="N23" s="159">
        <v>0</v>
      </c>
      <c r="O23" s="159">
        <f t="shared" si="3"/>
        <v>-0.5</v>
      </c>
      <c r="P23" s="159">
        <v>-0.5</v>
      </c>
      <c r="Q23" s="159">
        <v>-0.5</v>
      </c>
    </row>
    <row r="24" spans="2:17" x14ac:dyDescent="0.25">
      <c r="B24">
        <v>19</v>
      </c>
      <c r="C24" t="s">
        <v>392</v>
      </c>
      <c r="D24" s="159">
        <v>9.07</v>
      </c>
      <c r="E24" s="159">
        <v>31.99</v>
      </c>
      <c r="F24" s="159">
        <f t="shared" si="0"/>
        <v>290.14929999999998</v>
      </c>
      <c r="G24" s="159">
        <v>14.29</v>
      </c>
      <c r="H24" s="159">
        <v>296.79000000000002</v>
      </c>
      <c r="I24" s="159"/>
      <c r="J24" s="159">
        <v>7.68</v>
      </c>
      <c r="K24" s="159">
        <f t="shared" si="2"/>
        <v>296.7593</v>
      </c>
      <c r="L24" s="159">
        <v>153.83000000000001</v>
      </c>
      <c r="M24" s="159">
        <v>12.28</v>
      </c>
      <c r="N24" s="159">
        <v>0.95</v>
      </c>
      <c r="O24" s="159">
        <f t="shared" si="3"/>
        <v>13.229999999999999</v>
      </c>
      <c r="P24" s="159">
        <v>13.229999999999999</v>
      </c>
      <c r="Q24" s="159">
        <v>11.5</v>
      </c>
    </row>
    <row r="25" spans="2:17" x14ac:dyDescent="0.25">
      <c r="B25">
        <v>20</v>
      </c>
      <c r="C25" t="s">
        <v>393</v>
      </c>
      <c r="D25" s="159">
        <v>187</v>
      </c>
      <c r="E25" s="159">
        <v>1.0900000000000001</v>
      </c>
      <c r="F25" s="159">
        <f t="shared" si="0"/>
        <v>203.83</v>
      </c>
      <c r="G25" s="159">
        <v>1.87</v>
      </c>
      <c r="H25" s="159">
        <v>204.95</v>
      </c>
      <c r="I25" s="159"/>
      <c r="J25" s="159">
        <v>0.46</v>
      </c>
      <c r="K25" s="159">
        <f t="shared" si="2"/>
        <v>205.24</v>
      </c>
      <c r="L25" s="159">
        <v>18.190000000000001</v>
      </c>
      <c r="M25" s="159">
        <v>1.73</v>
      </c>
      <c r="N25" s="159">
        <v>0.09</v>
      </c>
      <c r="O25" s="159">
        <f t="shared" si="3"/>
        <v>1.82</v>
      </c>
      <c r="P25" s="159">
        <v>1.82</v>
      </c>
      <c r="Q25" s="159">
        <v>1.1399999999999999</v>
      </c>
    </row>
    <row r="26" spans="2:17" x14ac:dyDescent="0.25">
      <c r="B26">
        <v>21</v>
      </c>
      <c r="C26" t="s">
        <v>394</v>
      </c>
      <c r="D26" s="159">
        <v>14.1</v>
      </c>
      <c r="E26" s="159">
        <v>13.48</v>
      </c>
      <c r="F26" s="159">
        <f t="shared" si="0"/>
        <v>190.06800000000001</v>
      </c>
      <c r="G26" s="159">
        <v>34.25</v>
      </c>
      <c r="H26" s="159">
        <v>223.76</v>
      </c>
      <c r="I26" s="159"/>
      <c r="J26" s="159">
        <v>0.54</v>
      </c>
      <c r="K26" s="159">
        <f t="shared" si="2"/>
        <v>223.77800000000002</v>
      </c>
      <c r="L26" s="159">
        <v>3.89</v>
      </c>
      <c r="M26" s="159">
        <v>-1.84</v>
      </c>
      <c r="N26" s="159">
        <v>0.06</v>
      </c>
      <c r="O26" s="159">
        <f t="shared" si="3"/>
        <v>-1.78</v>
      </c>
      <c r="P26" s="159">
        <v>-1.78</v>
      </c>
      <c r="Q26" s="159">
        <v>-2.61</v>
      </c>
    </row>
    <row r="27" spans="2:17" x14ac:dyDescent="0.25">
      <c r="B27">
        <v>22</v>
      </c>
      <c r="C27" t="s">
        <v>395</v>
      </c>
      <c r="D27" s="159">
        <v>91.96</v>
      </c>
      <c r="E27" s="159">
        <v>1.79</v>
      </c>
      <c r="F27" s="159">
        <f t="shared" si="0"/>
        <v>164.60839999999999</v>
      </c>
      <c r="G27" s="159">
        <v>85.68</v>
      </c>
      <c r="H27" s="159">
        <v>250.09</v>
      </c>
      <c r="I27" s="159"/>
      <c r="J27" s="159">
        <v>0.47</v>
      </c>
      <c r="K27" s="159">
        <f t="shared" si="2"/>
        <v>249.8184</v>
      </c>
      <c r="L27" s="159">
        <v>352.62</v>
      </c>
      <c r="M27" s="159">
        <v>43.48</v>
      </c>
      <c r="N27" s="159">
        <v>5.53</v>
      </c>
      <c r="O27" s="159">
        <f t="shared" si="3"/>
        <v>49.01</v>
      </c>
      <c r="P27" s="159">
        <v>49.01</v>
      </c>
      <c r="Q27" s="159">
        <v>29.33</v>
      </c>
    </row>
    <row r="28" spans="2:17" x14ac:dyDescent="0.25">
      <c r="B28">
        <v>23</v>
      </c>
      <c r="C28" t="s">
        <v>396</v>
      </c>
      <c r="D28" s="159">
        <v>141.55000000000001</v>
      </c>
      <c r="E28" s="159">
        <v>1.02</v>
      </c>
      <c r="F28" s="159">
        <f t="shared" si="0"/>
        <v>144.381</v>
      </c>
      <c r="G28" s="159">
        <v>81.19</v>
      </c>
      <c r="H28" s="159">
        <v>226.08</v>
      </c>
      <c r="I28" s="159"/>
      <c r="J28" s="159">
        <v>0.2</v>
      </c>
      <c r="K28" s="159">
        <f t="shared" si="2"/>
        <v>225.37100000000001</v>
      </c>
      <c r="L28" s="159">
        <v>111.17</v>
      </c>
      <c r="M28" s="159">
        <v>19.260000000000002</v>
      </c>
      <c r="N28" s="159">
        <v>3.85</v>
      </c>
      <c r="O28" s="159">
        <f t="shared" si="3"/>
        <v>23.110000000000003</v>
      </c>
      <c r="P28" s="159">
        <v>23.110000000000003</v>
      </c>
      <c r="Q28" s="159">
        <v>8.9700000000000006</v>
      </c>
    </row>
    <row r="29" spans="2:17" x14ac:dyDescent="0.25">
      <c r="B29">
        <v>24</v>
      </c>
      <c r="C29" t="s">
        <v>397</v>
      </c>
      <c r="D29" s="159">
        <v>76.5</v>
      </c>
      <c r="E29" s="159">
        <v>1.85</v>
      </c>
      <c r="F29" s="159">
        <f t="shared" si="0"/>
        <v>141.52500000000001</v>
      </c>
      <c r="G29" s="159">
        <v>85.59</v>
      </c>
      <c r="H29" s="159">
        <v>226.42</v>
      </c>
      <c r="I29" s="159"/>
      <c r="J29" s="159">
        <v>0.89</v>
      </c>
      <c r="K29" s="159">
        <f t="shared" si="2"/>
        <v>226.22500000000002</v>
      </c>
      <c r="L29" s="159">
        <v>26.08</v>
      </c>
      <c r="M29" s="159">
        <v>4.2699999999999996</v>
      </c>
      <c r="N29" s="159">
        <v>1.43</v>
      </c>
      <c r="O29" s="159">
        <f t="shared" si="3"/>
        <v>5.6999999999999993</v>
      </c>
      <c r="P29" s="159">
        <v>5.6999999999999993</v>
      </c>
      <c r="Q29" s="159">
        <v>4.01</v>
      </c>
    </row>
    <row r="30" spans="2:17" x14ac:dyDescent="0.25">
      <c r="B30">
        <v>25</v>
      </c>
      <c r="C30" t="s">
        <v>398</v>
      </c>
      <c r="D30" s="159">
        <v>21.86</v>
      </c>
      <c r="E30" s="159">
        <v>4.62</v>
      </c>
      <c r="F30" s="159">
        <f t="shared" si="0"/>
        <v>100.9932</v>
      </c>
      <c r="G30" s="159">
        <v>13.38</v>
      </c>
      <c r="H30" s="159">
        <v>111.24</v>
      </c>
      <c r="I30" s="159"/>
      <c r="J30" s="159">
        <v>3.03</v>
      </c>
      <c r="K30" s="159">
        <f t="shared" si="2"/>
        <v>111.3432</v>
      </c>
      <c r="L30" s="159">
        <v>10.92</v>
      </c>
      <c r="M30" s="159">
        <v>-4.93</v>
      </c>
      <c r="N30" s="159">
        <v>0.14000000000000001</v>
      </c>
      <c r="O30" s="159">
        <f t="shared" si="3"/>
        <v>-4.79</v>
      </c>
      <c r="P30" s="159">
        <v>-4.79</v>
      </c>
      <c r="Q30" s="159">
        <v>-3.28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Financials&gt;</vt:lpstr>
      <vt:lpstr>Historical'FS</vt:lpstr>
      <vt:lpstr>Common Size Statement</vt:lpstr>
      <vt:lpstr>Ratio Analysis</vt:lpstr>
      <vt:lpstr>Intrinsic Growth</vt:lpstr>
      <vt:lpstr>Forcasting Growth Rate</vt:lpstr>
      <vt:lpstr>Forcasting</vt:lpstr>
      <vt:lpstr>WACC</vt:lpstr>
      <vt:lpstr>Beta - Regression</vt:lpstr>
      <vt:lpstr>RM</vt:lpstr>
      <vt:lpstr>DCF</vt:lpstr>
      <vt:lpstr>Football field Analysis</vt:lpstr>
      <vt:lpstr>Comps Valuation</vt:lpstr>
      <vt:lpstr>Data Room&gt;</vt:lpstr>
      <vt:lpstr>Data Sheet</vt:lpstr>
      <vt:lpstr>CF Data</vt:lpstr>
      <vt:lpstr>Raw Data</vt:lpstr>
      <vt:lpstr>DataBetaComps</vt:lpstr>
      <vt:lpstr>Sheet2</vt:lpstr>
      <vt:lpstr>Data Comps</vt:lpstr>
      <vt:lpstr>Sheet5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cp:lastModifiedBy>user</cp:lastModifiedBy>
  <dcterms:created xsi:type="dcterms:W3CDTF">2025-07-10T11:47:11Z</dcterms:created>
  <dcterms:modified xsi:type="dcterms:W3CDTF">2025-09-13T07:10:34Z</dcterms:modified>
</cp:coreProperties>
</file>